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15" yWindow="90" windowWidth="10155" windowHeight="7050" tabRatio="748" activeTab="3"/>
  </bookViews>
  <sheets>
    <sheet name="Notes" sheetId="1" r:id="rId1"/>
    <sheet name="Input Data" sheetId="2" r:id="rId2"/>
    <sheet name="Worked Example" sheetId="13" r:id="rId3"/>
    <sheet name="Civ_Struct_Eng_Tax Invoice " sheetId="3" r:id="rId4"/>
    <sheet name="Scales" sheetId="6" r:id="rId5"/>
    <sheet name="Previous Claims" sheetId="7" r:id="rId6"/>
    <sheet name="WTW Input" sheetId="4" r:id="rId7"/>
    <sheet name="Worked Example(WTW)" sheetId="14" r:id="rId8"/>
    <sheet name="WTW Calculations" sheetId="5" r:id="rId9"/>
    <sheet name="Summary A3" sheetId="16" r:id="rId10"/>
    <sheet name="Time Based" sheetId="10" r:id="rId11"/>
    <sheet name="Subsistence &amp; Travelling" sheetId="8" r:id="rId12"/>
    <sheet name="Trip Sheet" sheetId="15" r:id="rId13"/>
    <sheet name="Typing, Duplicating, &amp; Printing" sheetId="9" r:id="rId14"/>
    <sheet name="Site staff &amp; Other" sheetId="11" r:id="rId15"/>
    <sheet name="Non Taxable" sheetId="12" r:id="rId16"/>
  </sheets>
  <definedNames>
    <definedName name="_xlnm.Print_Area" localSheetId="3">'Civ_Struct_Eng_Tax Invoice '!$A$1:$Q$179</definedName>
    <definedName name="_xlnm.Print_Area" localSheetId="1">'Input Data'!$A$1:$H$61</definedName>
    <definedName name="_xlnm.Print_Area" localSheetId="0">Notes!$A$1:$B$64</definedName>
    <definedName name="_xlnm.Print_Area" localSheetId="14">'Site staff &amp; Other'!$A$1:$I$67</definedName>
    <definedName name="_xlnm.Print_Area" localSheetId="10">'Time Based'!$A$1:$I$69</definedName>
    <definedName name="_xlnm.Print_Area" localSheetId="2">'Worked Example'!$A$1:$H$61</definedName>
    <definedName name="_xlnm.Print_Area" localSheetId="7">'Worked Example(WTW)'!$A$1:$H$28</definedName>
    <definedName name="_xlnm.Print_Area" localSheetId="8">'WTW Calculations'!$A$1:$S$57</definedName>
    <definedName name="_xlnm.Print_Area" localSheetId="6">'WTW Input'!$A$1:$H$28</definedName>
    <definedName name="_xlnm.Print_Titles" localSheetId="3">'Civ_Struct_Eng_Tax Invoice '!$1:$6</definedName>
    <definedName name="_xlnm.Print_Titles" localSheetId="1">'Input Data'!$1:$6</definedName>
    <definedName name="_xlnm.Print_Titles" localSheetId="2">'Worked Example'!$1:$5</definedName>
    <definedName name="_xlnm.Print_Titles" localSheetId="8">'WTW Calculations'!$6:$13</definedName>
    <definedName name="SCALE_2012SE1">Scales!$B$3:$E$10</definedName>
    <definedName name="SCALE_2012SE2">Scales!$B$14:$E$21</definedName>
    <definedName name="Z_F2EF8C40_5F38_4711_A114_3A47916B87AA_.wvu.PrintArea" localSheetId="3" hidden="1">'Civ_Struct_Eng_Tax Invoice '!$A$1:$Q$112</definedName>
    <definedName name="Z_F2EF8C40_5F38_4711_A114_3A47916B87AA_.wvu.PrintArea" localSheetId="1" hidden="1">'Input Data'!$A$1:$H$61</definedName>
    <definedName name="Z_F2EF8C40_5F38_4711_A114_3A47916B87AA_.wvu.PrintArea" localSheetId="14" hidden="1">'Site staff &amp; Other'!$A$1:$I$67</definedName>
    <definedName name="Z_F2EF8C40_5F38_4711_A114_3A47916B87AA_.wvu.PrintArea" localSheetId="11" hidden="1">'Subsistence &amp; Travelling'!#REF!</definedName>
    <definedName name="Z_F2EF8C40_5F38_4711_A114_3A47916B87AA_.wvu.PrintArea" localSheetId="10" hidden="1">'Time Based'!$A$1:$I$68</definedName>
    <definedName name="Z_F2EF8C40_5F38_4711_A114_3A47916B87AA_.wvu.PrintArea" localSheetId="2" hidden="1">'Worked Example'!$A$1:$H$61</definedName>
    <definedName name="Z_F2EF8C40_5F38_4711_A114_3A47916B87AA_.wvu.PrintTitles" localSheetId="3" hidden="1">'Civ_Struct_Eng_Tax Invoice '!$2:$6</definedName>
    <definedName name="Z_F2EF8C40_5F38_4711_A114_3A47916B87AA_.wvu.PrintTitles" localSheetId="8" hidden="1">'WTW Calculations'!$6:$13</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Q170" i="3" l="1"/>
  <c r="Q177" i="3"/>
  <c r="I170" i="3" l="1"/>
  <c r="J5" i="15"/>
  <c r="D3" i="8"/>
  <c r="J3" i="8"/>
  <c r="O43" i="8" l="1"/>
  <c r="O52" i="8" l="1"/>
  <c r="O51" i="8"/>
  <c r="O50" i="8"/>
  <c r="O49" i="8"/>
  <c r="O48" i="8"/>
  <c r="O47" i="8"/>
  <c r="O46" i="8"/>
  <c r="O45" i="8"/>
  <c r="O44" i="8"/>
  <c r="Q112" i="3" l="1"/>
  <c r="P109" i="3" l="1"/>
  <c r="A21" i="13" l="1"/>
  <c r="A1" i="13"/>
  <c r="O36" i="8" l="1"/>
  <c r="O83" i="8"/>
  <c r="O68" i="8"/>
  <c r="L32" i="8"/>
  <c r="L31" i="8"/>
  <c r="L30" i="8"/>
  <c r="L29" i="8"/>
  <c r="L28" i="8"/>
  <c r="L27" i="8"/>
  <c r="L26" i="8"/>
  <c r="L25" i="8"/>
  <c r="L24" i="8"/>
  <c r="L23" i="8"/>
  <c r="O53" i="8" l="1"/>
  <c r="O87" i="8" s="1"/>
  <c r="F109" i="3" s="1"/>
  <c r="I50" i="11" l="1"/>
  <c r="I67" i="11" s="1"/>
  <c r="K109" i="3" s="1"/>
  <c r="O60" i="15" l="1"/>
  <c r="N44" i="15"/>
  <c r="H43" i="15"/>
  <c r="O43" i="15" s="1"/>
  <c r="O45" i="15" s="1"/>
  <c r="O61" i="15" s="1"/>
  <c r="J36" i="15"/>
  <c r="M36" i="15" s="1"/>
  <c r="O36" i="15" s="1"/>
  <c r="O37" i="15" s="1"/>
  <c r="F36" i="15"/>
  <c r="F35" i="15"/>
  <c r="F34" i="15"/>
  <c r="F33" i="15"/>
  <c r="F37" i="15" s="1"/>
  <c r="O16" i="15"/>
  <c r="I63" i="11" l="1"/>
  <c r="I62" i="11"/>
  <c r="I61" i="11"/>
  <c r="I60" i="11"/>
  <c r="I59" i="11"/>
  <c r="I58" i="11"/>
  <c r="I57" i="11"/>
  <c r="I56" i="11"/>
  <c r="I55" i="11"/>
  <c r="J40" i="9"/>
  <c r="J39" i="9"/>
  <c r="J38" i="9"/>
  <c r="J25" i="9"/>
  <c r="J12" i="9"/>
  <c r="J11" i="9"/>
  <c r="J10" i="9"/>
  <c r="E15" i="16" l="1"/>
  <c r="J13" i="16"/>
  <c r="E13" i="16"/>
  <c r="L4" i="16"/>
  <c r="L12" i="16"/>
  <c r="E12" i="16"/>
  <c r="E11" i="16"/>
  <c r="F9" i="16"/>
  <c r="E6" i="16"/>
  <c r="G4" i="16"/>
  <c r="J28" i="16" l="1"/>
  <c r="A87" i="1" l="1"/>
  <c r="J59" i="9"/>
  <c r="J58" i="9"/>
  <c r="J57" i="9"/>
  <c r="J56" i="9"/>
  <c r="J55" i="9"/>
  <c r="J54" i="9"/>
  <c r="J53" i="9"/>
  <c r="J52" i="9"/>
  <c r="J51" i="9"/>
  <c r="J50" i="9"/>
  <c r="J45" i="9"/>
  <c r="J44" i="9"/>
  <c r="J43" i="9"/>
  <c r="J42" i="9"/>
  <c r="J41" i="9"/>
  <c r="J37" i="9"/>
  <c r="J36" i="9"/>
  <c r="J31" i="9"/>
  <c r="J30" i="9"/>
  <c r="J29" i="9"/>
  <c r="J28" i="9"/>
  <c r="J27" i="9"/>
  <c r="J26" i="9"/>
  <c r="J24" i="9"/>
  <c r="J23" i="9"/>
  <c r="J22" i="9"/>
  <c r="J17" i="9"/>
  <c r="J16" i="9"/>
  <c r="J15" i="9"/>
  <c r="J14" i="9"/>
  <c r="J13" i="9"/>
  <c r="J9" i="9"/>
  <c r="J8" i="9"/>
  <c r="F32" i="2" l="1"/>
  <c r="E10" i="2"/>
  <c r="E9" i="13"/>
  <c r="E3" i="13" s="1"/>
  <c r="E2" i="2"/>
  <c r="L2" i="3" s="1"/>
  <c r="E3" i="2"/>
  <c r="D4" i="14" s="1"/>
  <c r="B11" i="14"/>
  <c r="C3" i="6"/>
  <c r="H38" i="2" s="1"/>
  <c r="H37" i="13" s="1"/>
  <c r="A49" i="1"/>
  <c r="A51" i="1" s="1"/>
  <c r="A53" i="1" s="1"/>
  <c r="A55" i="1" s="1"/>
  <c r="A57" i="1" s="1"/>
  <c r="A59" i="1" s="1"/>
  <c r="A61" i="1" s="1"/>
  <c r="A63" i="1" s="1"/>
  <c r="E9" i="14"/>
  <c r="C8" i="14"/>
  <c r="H3" i="14"/>
  <c r="D20" i="13"/>
  <c r="E21" i="2"/>
  <c r="Q78" i="3"/>
  <c r="O71" i="3"/>
  <c r="H17" i="4"/>
  <c r="K32" i="5" s="1"/>
  <c r="H20" i="4"/>
  <c r="O41" i="5" s="1"/>
  <c r="K170" i="3"/>
  <c r="K177" i="3"/>
  <c r="K2" i="7"/>
  <c r="D7" i="7" s="1"/>
  <c r="F7" i="7" s="1"/>
  <c r="G10" i="13"/>
  <c r="E10" i="13"/>
  <c r="I14" i="6"/>
  <c r="G11" i="2"/>
  <c r="E11" i="2"/>
  <c r="H3" i="13"/>
  <c r="H4" i="14"/>
  <c r="J18" i="12"/>
  <c r="E22" i="4"/>
  <c r="E49" i="2" s="1"/>
  <c r="G22" i="4"/>
  <c r="G49" i="2" s="1"/>
  <c r="G50" i="2" s="1"/>
  <c r="C14" i="6"/>
  <c r="I28" i="10"/>
  <c r="I38" i="10" s="1"/>
  <c r="F22" i="4"/>
  <c r="F49" i="2" s="1"/>
  <c r="F50" i="2" s="1"/>
  <c r="F8" i="4"/>
  <c r="K151" i="3"/>
  <c r="E74" i="3"/>
  <c r="G74" i="3"/>
  <c r="I12" i="10"/>
  <c r="I43" i="10"/>
  <c r="I57" i="10"/>
  <c r="I7" i="11"/>
  <c r="I8" i="11"/>
  <c r="I9" i="11"/>
  <c r="I10" i="11"/>
  <c r="I11" i="11"/>
  <c r="I12" i="11"/>
  <c r="I13" i="11"/>
  <c r="I14" i="11"/>
  <c r="I15" i="11"/>
  <c r="I16" i="11"/>
  <c r="I22" i="11"/>
  <c r="I23" i="11"/>
  <c r="I24" i="11"/>
  <c r="I25" i="11"/>
  <c r="I26" i="11"/>
  <c r="I27" i="11"/>
  <c r="I28" i="11"/>
  <c r="I29" i="11"/>
  <c r="I30" i="11"/>
  <c r="I31" i="11"/>
  <c r="I37" i="11"/>
  <c r="I38" i="11"/>
  <c r="I39" i="11"/>
  <c r="I40" i="11"/>
  <c r="I41" i="11"/>
  <c r="I42" i="11"/>
  <c r="I43" i="11"/>
  <c r="I44" i="11"/>
  <c r="I45" i="11"/>
  <c r="I46" i="11"/>
  <c r="I54" i="11"/>
  <c r="I64" i="11" s="1"/>
  <c r="J64" i="9"/>
  <c r="I109" i="3" s="1"/>
  <c r="C42" i="7"/>
  <c r="J5" i="7" s="1"/>
  <c r="J42" i="7" s="1"/>
  <c r="E18" i="2"/>
  <c r="C15" i="3" s="1"/>
  <c r="H4" i="3"/>
  <c r="S3" i="5"/>
  <c r="H4" i="4"/>
  <c r="C5" i="5"/>
  <c r="E9" i="4"/>
  <c r="A23" i="4"/>
  <c r="B19" i="3"/>
  <c r="C10" i="4"/>
  <c r="C10" i="5"/>
  <c r="Q2" i="3"/>
  <c r="I6" i="5"/>
  <c r="D3" i="12"/>
  <c r="D3" i="11"/>
  <c r="E3" i="10"/>
  <c r="C3" i="9"/>
  <c r="F3" i="9"/>
  <c r="D2" i="7"/>
  <c r="B11" i="4"/>
  <c r="H3" i="4"/>
  <c r="S5" i="5"/>
  <c r="B8" i="5"/>
  <c r="C12" i="5"/>
  <c r="O18" i="3"/>
  <c r="Q16" i="3"/>
  <c r="N17" i="3"/>
  <c r="Q17" i="3"/>
  <c r="Q14" i="3"/>
  <c r="Q13" i="3"/>
  <c r="P12" i="3"/>
  <c r="B17" i="3"/>
  <c r="B16" i="3"/>
  <c r="O15" i="3"/>
  <c r="B14" i="3"/>
  <c r="B13" i="3"/>
  <c r="B12" i="3"/>
  <c r="P6" i="3"/>
  <c r="J10" i="3"/>
  <c r="M10" i="3"/>
  <c r="O10" i="3"/>
  <c r="Q9" i="3"/>
  <c r="Q8" i="3"/>
  <c r="Q7" i="3"/>
  <c r="O9" i="3"/>
  <c r="M9" i="3"/>
  <c r="M8" i="3"/>
  <c r="M7" i="3"/>
  <c r="M6" i="3"/>
  <c r="B10" i="3"/>
  <c r="B9" i="3"/>
  <c r="B8" i="3"/>
  <c r="B7" i="3"/>
  <c r="B6" i="3"/>
  <c r="Q3" i="3"/>
  <c r="P4" i="3"/>
  <c r="M3" i="3"/>
  <c r="B5" i="3"/>
  <c r="B4" i="3"/>
  <c r="E19" i="2"/>
  <c r="B6" i="5"/>
  <c r="K3" i="5"/>
  <c r="I2" i="5"/>
  <c r="H3" i="12"/>
  <c r="E42" i="7"/>
  <c r="L5" i="7" s="1"/>
  <c r="L42" i="7" s="1"/>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F2" i="7"/>
  <c r="G3" i="11"/>
  <c r="I58" i="10"/>
  <c r="I59" i="10"/>
  <c r="I60" i="10"/>
  <c r="I61" i="10"/>
  <c r="I62" i="10"/>
  <c r="I63" i="10"/>
  <c r="I64" i="10"/>
  <c r="I65" i="10"/>
  <c r="I66" i="10"/>
  <c r="I44" i="10"/>
  <c r="I45" i="10"/>
  <c r="I46" i="10"/>
  <c r="I47" i="10"/>
  <c r="I48" i="10"/>
  <c r="I49" i="10"/>
  <c r="I50" i="10"/>
  <c r="I51" i="10"/>
  <c r="I52" i="10"/>
  <c r="M2" i="3"/>
  <c r="J60" i="9"/>
  <c r="J46" i="9"/>
  <c r="J32" i="9"/>
  <c r="J18" i="9"/>
  <c r="I13" i="10"/>
  <c r="I14" i="10"/>
  <c r="I15" i="10"/>
  <c r="I16" i="10"/>
  <c r="I17" i="10"/>
  <c r="I18" i="10"/>
  <c r="I19" i="10"/>
  <c r="I20" i="10"/>
  <c r="I21" i="10"/>
  <c r="I22" i="10"/>
  <c r="I29" i="10"/>
  <c r="I30" i="10"/>
  <c r="I31" i="10"/>
  <c r="I32" i="10"/>
  <c r="I33" i="10"/>
  <c r="I34" i="10"/>
  <c r="I35" i="10"/>
  <c r="I36" i="10"/>
  <c r="I37" i="10"/>
  <c r="G3" i="10"/>
  <c r="C8" i="4"/>
  <c r="D3" i="4"/>
  <c r="G28" i="4"/>
  <c r="E50" i="2"/>
  <c r="I6" i="6"/>
  <c r="J20" i="12" l="1"/>
  <c r="H49" i="16"/>
  <c r="H45" i="16"/>
  <c r="J45" i="16" s="1"/>
  <c r="Q84" i="3"/>
  <c r="O110" i="3"/>
  <c r="O111" i="3" s="1"/>
  <c r="L20" i="16"/>
  <c r="K35" i="7"/>
  <c r="M35" i="7" s="1"/>
  <c r="D13" i="7"/>
  <c r="F13" i="7" s="1"/>
  <c r="D30" i="7"/>
  <c r="F30" i="7" s="1"/>
  <c r="I151" i="3"/>
  <c r="C33" i="2"/>
  <c r="K7" i="7"/>
  <c r="M7" i="7" s="1"/>
  <c r="H60" i="2"/>
  <c r="M170" i="3"/>
  <c r="H57" i="2"/>
  <c r="H43" i="2"/>
  <c r="I127" i="3" s="1"/>
  <c r="F51" i="2"/>
  <c r="K166" i="3"/>
  <c r="K158" i="3"/>
  <c r="H18" i="4"/>
  <c r="I35" i="5" s="1"/>
  <c r="H27" i="4"/>
  <c r="O53" i="5" s="1"/>
  <c r="H47" i="2"/>
  <c r="M139" i="3" s="1"/>
  <c r="A51" i="2"/>
  <c r="A19" i="3"/>
  <c r="M50" i="5"/>
  <c r="C32" i="2"/>
  <c r="H14" i="4"/>
  <c r="S23" i="5" s="1"/>
  <c r="H26" i="4"/>
  <c r="O50" i="5" s="1"/>
  <c r="I41" i="5"/>
  <c r="H61" i="2"/>
  <c r="O170" i="3" s="1"/>
  <c r="H49" i="2"/>
  <c r="H21" i="4"/>
  <c r="K44" i="5" s="1"/>
  <c r="H16" i="4"/>
  <c r="O29" i="5" s="1"/>
  <c r="I32" i="11"/>
  <c r="I47" i="11"/>
  <c r="K5" i="6"/>
  <c r="H56" i="2"/>
  <c r="H45" i="2"/>
  <c r="G133" i="3" s="1"/>
  <c r="I17" i="11"/>
  <c r="D25" i="7"/>
  <c r="F25" i="7" s="1"/>
  <c r="K29" i="7"/>
  <c r="M29" i="7" s="1"/>
  <c r="D4" i="4"/>
  <c r="G51" i="2"/>
  <c r="M166" i="3"/>
  <c r="M53" i="5"/>
  <c r="K161" i="3"/>
  <c r="M177" i="3"/>
  <c r="H19" i="4"/>
  <c r="K38" i="5" s="1"/>
  <c r="H15" i="4"/>
  <c r="K6" i="6"/>
  <c r="H42" i="2"/>
  <c r="I124" i="3" s="1"/>
  <c r="I7" i="6"/>
  <c r="I23" i="10"/>
  <c r="I53" i="10"/>
  <c r="H25" i="16" s="1"/>
  <c r="J25" i="16" s="1"/>
  <c r="I67" i="10"/>
  <c r="H26" i="16" s="1"/>
  <c r="J26" i="16" s="1"/>
  <c r="D11" i="7"/>
  <c r="F11" i="7" s="1"/>
  <c r="D39" i="7"/>
  <c r="F39" i="7" s="1"/>
  <c r="K23" i="7"/>
  <c r="M23" i="7" s="1"/>
  <c r="D37" i="7"/>
  <c r="F37" i="7" s="1"/>
  <c r="K15" i="7"/>
  <c r="M15" i="7" s="1"/>
  <c r="K32" i="7"/>
  <c r="M32" i="7" s="1"/>
  <c r="K22" i="7"/>
  <c r="M22" i="7" s="1"/>
  <c r="K6" i="7"/>
  <c r="M6" i="7" s="1"/>
  <c r="D15" i="7"/>
  <c r="F15" i="7" s="1"/>
  <c r="D27" i="7"/>
  <c r="F27" i="7" s="1"/>
  <c r="D17" i="7"/>
  <c r="F17" i="7" s="1"/>
  <c r="D41" i="7"/>
  <c r="F41" i="7" s="1"/>
  <c r="K25" i="7"/>
  <c r="M25" i="7" s="1"/>
  <c r="K30" i="7"/>
  <c r="M30" i="7" s="1"/>
  <c r="D28" i="7"/>
  <c r="F28" i="7" s="1"/>
  <c r="D23" i="7"/>
  <c r="F23" i="7" s="1"/>
  <c r="D35" i="7"/>
  <c r="F35" i="7" s="1"/>
  <c r="D9" i="7"/>
  <c r="F9" i="7" s="1"/>
  <c r="D21" i="7"/>
  <c r="F21" i="7" s="1"/>
  <c r="D33" i="7"/>
  <c r="F33" i="7" s="1"/>
  <c r="K41" i="5"/>
  <c r="D14" i="7"/>
  <c r="F14" i="7" s="1"/>
  <c r="D26" i="7"/>
  <c r="F26" i="7" s="1"/>
  <c r="D38" i="7"/>
  <c r="F38" i="7" s="1"/>
  <c r="K13" i="7"/>
  <c r="M13" i="7" s="1"/>
  <c r="K21" i="7"/>
  <c r="M21" i="7" s="1"/>
  <c r="K27" i="7"/>
  <c r="M27" i="7" s="1"/>
  <c r="K41" i="7"/>
  <c r="M41" i="7" s="1"/>
  <c r="O42" i="5"/>
  <c r="S41" i="5"/>
  <c r="K36" i="7"/>
  <c r="M36" i="7" s="1"/>
  <c r="K24" i="7"/>
  <c r="M24" i="7" s="1"/>
  <c r="K8" i="7"/>
  <c r="M8" i="7" s="1"/>
  <c r="D8" i="7"/>
  <c r="F8" i="7" s="1"/>
  <c r="O32" i="5"/>
  <c r="D6" i="7"/>
  <c r="F6" i="7" s="1"/>
  <c r="D18" i="7"/>
  <c r="F18" i="7" s="1"/>
  <c r="K9" i="7"/>
  <c r="M9" i="7" s="1"/>
  <c r="K17" i="7"/>
  <c r="M17" i="7" s="1"/>
  <c r="K31" i="7"/>
  <c r="M31" i="7" s="1"/>
  <c r="K37" i="7"/>
  <c r="M37" i="7" s="1"/>
  <c r="Q32" i="5"/>
  <c r="K40" i="7"/>
  <c r="M40" i="7" s="1"/>
  <c r="K16" i="7"/>
  <c r="M16" i="7" s="1"/>
  <c r="D19" i="7"/>
  <c r="F19" i="7" s="1"/>
  <c r="D31" i="7"/>
  <c r="F31" i="7" s="1"/>
  <c r="D5" i="7"/>
  <c r="F5" i="7" s="1"/>
  <c r="D29" i="7"/>
  <c r="F29" i="7" s="1"/>
  <c r="D10" i="7"/>
  <c r="F10" i="7" s="1"/>
  <c r="D22" i="7"/>
  <c r="F22" i="7" s="1"/>
  <c r="D34" i="7"/>
  <c r="F34" i="7" s="1"/>
  <c r="K11" i="7"/>
  <c r="M11" i="7" s="1"/>
  <c r="K19" i="7"/>
  <c r="M19" i="7" s="1"/>
  <c r="K33" i="7"/>
  <c r="M33" i="7" s="1"/>
  <c r="K39" i="7"/>
  <c r="M39" i="7" s="1"/>
  <c r="Q41" i="5"/>
  <c r="O33" i="5"/>
  <c r="S32" i="5"/>
  <c r="K38" i="7"/>
  <c r="M38" i="7" s="1"/>
  <c r="K28" i="7"/>
  <c r="M28" i="7" s="1"/>
  <c r="K14" i="7"/>
  <c r="M14" i="7" s="1"/>
  <c r="D24" i="7"/>
  <c r="F24" i="7" s="1"/>
  <c r="K20" i="7"/>
  <c r="M20" i="7" s="1"/>
  <c r="K12" i="7"/>
  <c r="M12" i="7" s="1"/>
  <c r="D40" i="7"/>
  <c r="F40" i="7" s="1"/>
  <c r="D20" i="7"/>
  <c r="F20" i="7" s="1"/>
  <c r="K34" i="7"/>
  <c r="M34" i="7" s="1"/>
  <c r="K26" i="7"/>
  <c r="M26" i="7" s="1"/>
  <c r="K18" i="7"/>
  <c r="M18" i="7" s="1"/>
  <c r="K10" i="7"/>
  <c r="M10" i="7" s="1"/>
  <c r="D36" i="7"/>
  <c r="F36" i="7" s="1"/>
  <c r="D12" i="7"/>
  <c r="F12" i="7" s="1"/>
  <c r="H52" i="2"/>
  <c r="M167" i="3" s="1"/>
  <c r="D32" i="7"/>
  <c r="F32" i="7" s="1"/>
  <c r="D16" i="7"/>
  <c r="F16" i="7" s="1"/>
  <c r="K7" i="6"/>
  <c r="I5" i="6"/>
  <c r="H53" i="2"/>
  <c r="H48" i="2"/>
  <c r="H41" i="2"/>
  <c r="E40" i="2"/>
  <c r="H46" i="2"/>
  <c r="H44" i="2"/>
  <c r="J63" i="9"/>
  <c r="Q90" i="3" l="1"/>
  <c r="P110" i="3" s="1"/>
  <c r="P111" i="3" s="1"/>
  <c r="J49" i="16"/>
  <c r="L49" i="16" s="1"/>
  <c r="L55" i="16" s="1"/>
  <c r="Q82" i="3"/>
  <c r="H36" i="16"/>
  <c r="J36" i="16" s="1"/>
  <c r="H23" i="16"/>
  <c r="J23" i="16" s="1"/>
  <c r="I70" i="10"/>
  <c r="C109" i="3" s="1"/>
  <c r="H24" i="16"/>
  <c r="I69" i="10"/>
  <c r="Q75" i="3" s="1"/>
  <c r="Q61" i="3"/>
  <c r="O54" i="5"/>
  <c r="K35" i="5"/>
  <c r="S53" i="5"/>
  <c r="K53" i="5"/>
  <c r="K29" i="5"/>
  <c r="Q53" i="5"/>
  <c r="G139" i="3"/>
  <c r="S29" i="5"/>
  <c r="M124" i="3"/>
  <c r="M133" i="3"/>
  <c r="Q29" i="5"/>
  <c r="M127" i="3"/>
  <c r="I161" i="3"/>
  <c r="M161" i="3"/>
  <c r="S50" i="5"/>
  <c r="L5" i="6"/>
  <c r="O30" i="5"/>
  <c r="H22" i="4"/>
  <c r="O36" i="5"/>
  <c r="O35" i="5"/>
  <c r="S35" i="5"/>
  <c r="Q35" i="5"/>
  <c r="Q50" i="5"/>
  <c r="O51" i="5"/>
  <c r="S15" i="5"/>
  <c r="I139" i="3"/>
  <c r="O23" i="5"/>
  <c r="Q23" i="5"/>
  <c r="O24" i="5"/>
  <c r="H28" i="4"/>
  <c r="O44" i="5"/>
  <c r="S44" i="5"/>
  <c r="I44" i="5"/>
  <c r="Q44" i="5"/>
  <c r="G44" i="5"/>
  <c r="O45" i="5"/>
  <c r="I49" i="11"/>
  <c r="I133" i="3"/>
  <c r="M158" i="3"/>
  <c r="O26" i="5"/>
  <c r="O27" i="5"/>
  <c r="S26" i="5"/>
  <c r="Q26" i="5"/>
  <c r="K26" i="5"/>
  <c r="O38" i="5"/>
  <c r="S38" i="5"/>
  <c r="O39" i="5"/>
  <c r="Q38" i="5"/>
  <c r="I38" i="5"/>
  <c r="F42" i="7"/>
  <c r="M121" i="3"/>
  <c r="I136" i="3"/>
  <c r="M136" i="3"/>
  <c r="G136" i="3"/>
  <c r="M142" i="3"/>
  <c r="G142" i="3"/>
  <c r="E142" i="3"/>
  <c r="I142" i="3"/>
  <c r="D42" i="7"/>
  <c r="K5" i="7" s="1"/>
  <c r="M130" i="3"/>
  <c r="I130" i="3"/>
  <c r="M147" i="3"/>
  <c r="M148" i="3"/>
  <c r="L20" i="3"/>
  <c r="L19" i="3"/>
  <c r="J20" i="3"/>
  <c r="Q20" i="3"/>
  <c r="H43" i="16" l="1"/>
  <c r="Q83" i="3"/>
  <c r="K110" i="3" s="1"/>
  <c r="K111" i="3" s="1"/>
  <c r="I110" i="3"/>
  <c r="I111" i="3" s="1"/>
  <c r="J24" i="16"/>
  <c r="L6" i="6"/>
  <c r="S55" i="5"/>
  <c r="O173" i="3" s="1"/>
  <c r="G58" i="2"/>
  <c r="G59" i="2" s="1"/>
  <c r="O151" i="3"/>
  <c r="I66" i="11"/>
  <c r="M5" i="7"/>
  <c r="M42" i="7" s="1"/>
  <c r="K42" i="7"/>
  <c r="K118" i="3"/>
  <c r="M118" i="3"/>
  <c r="O118" i="3"/>
  <c r="J43" i="16" l="1"/>
  <c r="J47" i="16" s="1"/>
  <c r="L47" i="16" s="1"/>
  <c r="H47" i="16"/>
  <c r="Q87" i="3"/>
  <c r="I42" i="7"/>
  <c r="M109" i="3"/>
  <c r="B109" i="3"/>
  <c r="Q109" i="3" s="1"/>
  <c r="L7" i="6"/>
  <c r="K124" i="3" s="1"/>
  <c r="M23" i="5"/>
  <c r="M26" i="5"/>
  <c r="M151" i="3"/>
  <c r="Q151" i="3" s="1"/>
  <c r="Q43" i="3" s="1"/>
  <c r="H58" i="2"/>
  <c r="H59" i="2" s="1"/>
  <c r="M173" i="3"/>
  <c r="Q173" i="3" s="1"/>
  <c r="Q64" i="3" s="1"/>
  <c r="Q118" i="3"/>
  <c r="O147" i="3" s="1"/>
  <c r="H50" i="2" l="1"/>
  <c r="I177" i="3"/>
  <c r="M32" i="5"/>
  <c r="M29" i="5"/>
  <c r="K121" i="3"/>
  <c r="K136" i="3"/>
  <c r="K130" i="3"/>
  <c r="K127" i="3"/>
  <c r="M35" i="5"/>
  <c r="M38" i="5"/>
  <c r="I74" i="3"/>
  <c r="K147" i="3"/>
  <c r="Q147" i="3" s="1"/>
  <c r="Q40" i="3" s="1"/>
  <c r="M41" i="5"/>
  <c r="M44" i="5"/>
  <c r="K139" i="3"/>
  <c r="K133" i="3"/>
  <c r="K142" i="3"/>
  <c r="M162" i="3"/>
  <c r="M143" i="3"/>
  <c r="M140" i="3"/>
  <c r="Q19" i="3"/>
  <c r="M137" i="3"/>
  <c r="M125" i="3"/>
  <c r="M159" i="3"/>
  <c r="D26" i="2"/>
  <c r="C18" i="3" s="1"/>
  <c r="M131" i="3"/>
  <c r="M128" i="3"/>
  <c r="S14" i="5"/>
  <c r="S46" i="5" s="1"/>
  <c r="M134" i="3"/>
  <c r="M122" i="3"/>
  <c r="O166" i="3"/>
  <c r="Q166" i="3" s="1"/>
  <c r="Q58" i="3" s="1"/>
  <c r="M30" i="8" l="1"/>
  <c r="M26" i="8"/>
  <c r="M16" i="8"/>
  <c r="M12" i="8"/>
  <c r="M8" i="8"/>
  <c r="M29" i="8"/>
  <c r="M25" i="8"/>
  <c r="M15" i="8"/>
  <c r="M11" i="8"/>
  <c r="M7" i="8"/>
  <c r="M32" i="8"/>
  <c r="M28" i="8"/>
  <c r="M24" i="8"/>
  <c r="M14" i="8"/>
  <c r="M10" i="8"/>
  <c r="M31" i="8"/>
  <c r="M27" i="8"/>
  <c r="M23" i="8"/>
  <c r="M13" i="8"/>
  <c r="M9" i="8"/>
  <c r="S57" i="5"/>
  <c r="O154" i="3"/>
  <c r="Q154" i="3" s="1"/>
  <c r="Q46" i="3" s="1"/>
  <c r="M116" i="3"/>
  <c r="O18" i="5" s="1"/>
  <c r="K116" i="3"/>
  <c r="O116" i="3"/>
  <c r="Q18" i="5" s="1"/>
  <c r="M18" i="5" l="1"/>
  <c r="S18" i="5" s="1"/>
  <c r="Q116" i="3"/>
  <c r="O158" i="3" l="1"/>
  <c r="Q158" i="3" s="1"/>
  <c r="O133" i="3"/>
  <c r="Q133" i="3" s="1"/>
  <c r="Q31" i="3" s="1"/>
  <c r="O121" i="3"/>
  <c r="Q121" i="3" s="1"/>
  <c r="O136" i="3"/>
  <c r="Q136" i="3" s="1"/>
  <c r="Q33" i="3" s="1"/>
  <c r="O124" i="3"/>
  <c r="Q124" i="3" s="1"/>
  <c r="Q25" i="3" s="1"/>
  <c r="O142" i="3"/>
  <c r="Q142" i="3" s="1"/>
  <c r="Q37" i="3" s="1"/>
  <c r="O139" i="3"/>
  <c r="Q139" i="3" s="1"/>
  <c r="Q35" i="3" s="1"/>
  <c r="O127" i="3"/>
  <c r="Q127" i="3" s="1"/>
  <c r="Q27" i="3" s="1"/>
  <c r="O161" i="3"/>
  <c r="Q161" i="3" s="1"/>
  <c r="Q54" i="3" s="1"/>
  <c r="O130" i="3"/>
  <c r="Q130" i="3" s="1"/>
  <c r="Q29" i="3" s="1"/>
  <c r="Q119" i="3"/>
  <c r="K74" i="3" l="1"/>
  <c r="M74" i="3" s="1"/>
  <c r="Q74" i="3" s="1"/>
  <c r="Q73" i="3"/>
  <c r="O177" i="3"/>
  <c r="Q23" i="3"/>
  <c r="Q144" i="3"/>
  <c r="S156" i="3" s="1"/>
  <c r="Q52" i="3"/>
  <c r="Q163" i="3"/>
  <c r="Q68" i="3" l="1"/>
  <c r="S177" i="3"/>
  <c r="Q175" i="3"/>
  <c r="Q55" i="3"/>
  <c r="Q38" i="3"/>
  <c r="S38" i="3" s="1"/>
  <c r="Q156" i="3"/>
  <c r="Q66" i="3" l="1"/>
  <c r="S175" i="3"/>
  <c r="S179" i="3" s="1"/>
  <c r="Q48" i="3"/>
  <c r="Q179" i="3"/>
  <c r="Q70" i="3" l="1"/>
  <c r="Q71" i="3"/>
  <c r="B110" i="3" l="1"/>
  <c r="B111" i="3" s="1"/>
  <c r="L19" i="16"/>
  <c r="O30" i="8"/>
  <c r="O26" i="8"/>
  <c r="O16" i="8"/>
  <c r="O12" i="8"/>
  <c r="O8" i="8"/>
  <c r="O29" i="8"/>
  <c r="O25" i="8"/>
  <c r="O15" i="8"/>
  <c r="O11" i="8"/>
  <c r="O7" i="8"/>
  <c r="O32" i="8"/>
  <c r="O28" i="8"/>
  <c r="O24" i="8"/>
  <c r="O14" i="8"/>
  <c r="O10" i="8"/>
  <c r="O31" i="8"/>
  <c r="O27" i="8"/>
  <c r="O23" i="8"/>
  <c r="O13" i="8"/>
  <c r="O9" i="8"/>
  <c r="O17" i="8" l="1"/>
  <c r="O33" i="8"/>
  <c r="O35" i="8" l="1"/>
  <c r="O86" i="8" s="1"/>
  <c r="H34" i="16" s="1"/>
  <c r="Q76" i="3"/>
  <c r="C110" i="3" s="1"/>
  <c r="O88" i="8" l="1"/>
  <c r="Q81" i="3"/>
  <c r="Q85" i="3" s="1"/>
  <c r="O37" i="8"/>
  <c r="J34" i="16"/>
  <c r="J38" i="16" s="1"/>
  <c r="L38" i="16" s="1"/>
  <c r="H38" i="16"/>
  <c r="H29" i="16"/>
  <c r="H50" i="16"/>
  <c r="C111" i="3"/>
  <c r="Q77" i="3"/>
  <c r="Q79" i="3" s="1"/>
  <c r="F110" i="3" l="1"/>
  <c r="F111" i="3" s="1"/>
  <c r="Q86" i="3"/>
  <c r="G88" i="3" s="1"/>
  <c r="J50" i="16"/>
  <c r="J29" i="16"/>
  <c r="L29" i="16" s="1"/>
  <c r="L53" i="16" s="1"/>
  <c r="Q88" i="3" l="1"/>
  <c r="M89" i="3" s="1"/>
  <c r="Q89" i="3" s="1"/>
  <c r="M110" i="3" s="1"/>
  <c r="I91" i="3"/>
  <c r="M111" i="3" l="1"/>
  <c r="Q111" i="3" s="1"/>
  <c r="Q110" i="3"/>
  <c r="Q91" i="3"/>
  <c r="H54" i="16"/>
  <c r="L54" i="16"/>
  <c r="L56" i="16" s="1"/>
</calcChain>
</file>

<file path=xl/comments1.xml><?xml version="1.0" encoding="utf-8"?>
<comments xmlns="http://schemas.openxmlformats.org/spreadsheetml/2006/main">
  <authors>
    <author>BEAURAIN</author>
    <author>charles beaurain</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text>
        <r>
          <rPr>
            <sz val="10"/>
            <color indexed="10"/>
            <rFont val="Tahoma"/>
            <family val="2"/>
          </rPr>
          <t>ACCORDING TO YOUR CONTRACT WITH DPW.</t>
        </r>
      </text>
    </comment>
    <comment ref="D27" authorId="0">
      <text>
        <r>
          <rPr>
            <sz val="12"/>
            <color indexed="10"/>
            <rFont val="Tahoma"/>
            <family val="2"/>
          </rPr>
          <t>Insert the percentage tendered . In case of an appointment i.t.o the Standard Letter of Appointment, insert 100.</t>
        </r>
      </text>
    </comment>
    <comment ref="G51" authorId="1">
      <text>
        <r>
          <rPr>
            <b/>
            <sz val="10"/>
            <color indexed="81"/>
            <rFont val="Tahoma"/>
            <family val="2"/>
          </rPr>
          <t>Charles beau rain:</t>
        </r>
        <r>
          <rPr>
            <sz val="10"/>
            <color indexed="81"/>
            <rFont val="Tahoma"/>
            <family val="2"/>
          </rPr>
          <t xml:space="preserve">
The total final value in H50 must be = H58</t>
        </r>
      </text>
    </comment>
  </commentList>
</comments>
</file>

<file path=xl/comments2.xml><?xml version="1.0" encoding="utf-8"?>
<comments xmlns="http://schemas.openxmlformats.org/spreadsheetml/2006/main">
  <authors>
    <author>BEAURAIN</author>
    <author>charles 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 ref="E35" authorId="1">
      <text>
        <r>
          <rPr>
            <b/>
            <sz val="8"/>
            <color indexed="81"/>
            <rFont val="Tahoma"/>
            <family val="2"/>
          </rPr>
          <t>Charles beau rain:</t>
        </r>
        <r>
          <rPr>
            <sz val="8"/>
            <color indexed="81"/>
            <rFont val="Tahoma"/>
            <family val="2"/>
          </rPr>
          <t xml:space="preserve">
Only ="Y" when specifically appointed as Principal agent.
</t>
        </r>
      </text>
    </comment>
    <comment ref="E37" authorId="1">
      <text>
        <r>
          <rPr>
            <b/>
            <sz val="8"/>
            <color indexed="81"/>
            <rFont val="Tahoma"/>
            <family val="2"/>
          </rPr>
          <t>Charles beau rain:</t>
        </r>
        <r>
          <rPr>
            <sz val="8"/>
            <color indexed="81"/>
            <rFont val="Tahoma"/>
            <family val="2"/>
          </rPr>
          <t xml:space="preserve">
Only ="Y" when specifically appointed as Principal agent.
</t>
        </r>
      </text>
    </comment>
  </commentList>
</comments>
</file>

<file path=xl/comments3.xml><?xml version="1.0" encoding="utf-8"?>
<comments xmlns="http://schemas.openxmlformats.org/spreadsheetml/2006/main">
  <authors>
    <author>Charles Beaurain</author>
  </authors>
  <commentList>
    <comment ref="O4" authorId="0">
      <text>
        <r>
          <rPr>
            <sz val="9"/>
            <color indexed="81"/>
            <rFont val="Tahoma"/>
            <family val="2"/>
          </rPr>
          <t xml:space="preserve">
USE ONLY ONE FORM PER TRIP PLEASE
</t>
        </r>
      </text>
    </comment>
  </commentList>
</comments>
</file>

<file path=xl/comments4.xml><?xml version="1.0" encoding="utf-8"?>
<comments xmlns="http://schemas.openxmlformats.org/spreadsheetml/2006/main">
  <authors>
    <author>BEAURAIN</author>
  </authors>
  <commentList>
    <comment ref="J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<sst xmlns="http://schemas.openxmlformats.org/spreadsheetml/2006/main" count="1209" uniqueCount="679">
  <si>
    <t>PLUS VAT @</t>
  </si>
  <si>
    <t xml:space="preserve"> x</t>
  </si>
  <si>
    <t xml:space="preserve"> x {</t>
  </si>
  <si>
    <t>)}=</t>
  </si>
  <si>
    <t>Date</t>
  </si>
  <si>
    <t>Total</t>
  </si>
  <si>
    <t>Amount</t>
  </si>
  <si>
    <t>DATE</t>
  </si>
  <si>
    <t>Hours</t>
  </si>
  <si>
    <t>Hotel Name</t>
  </si>
  <si>
    <t>Delivered to</t>
  </si>
  <si>
    <t>Size</t>
  </si>
  <si>
    <t>Type</t>
  </si>
  <si>
    <t>1. Typing</t>
  </si>
  <si>
    <t>2. Duplicating</t>
  </si>
  <si>
    <t>Description of Document</t>
  </si>
  <si>
    <t>Pages</t>
  </si>
  <si>
    <t>SERVICE:</t>
  </si>
  <si>
    <t>INVOICE NUMBER:</t>
  </si>
  <si>
    <t>OF</t>
  </si>
  <si>
    <t>AMOUNT DUE</t>
  </si>
  <si>
    <t>TOTAL FEES DUE</t>
  </si>
  <si>
    <t>NOTE:</t>
  </si>
  <si>
    <t>x</t>
  </si>
  <si>
    <t>Designation</t>
  </si>
  <si>
    <t>BASIC FEE</t>
  </si>
  <si>
    <t>PRINCIPAL AGENT (Y/N)</t>
  </si>
  <si>
    <t>DATE APPOINTED :</t>
  </si>
  <si>
    <t>TARIFF OF FEES TO APPLY :</t>
  </si>
  <si>
    <t>SCHEDULE V: TIME BASED FEES</t>
  </si>
  <si>
    <t>Approval</t>
  </si>
  <si>
    <t>Describe</t>
  </si>
  <si>
    <t>A</t>
  </si>
  <si>
    <t>D</t>
  </si>
  <si>
    <t>B</t>
  </si>
  <si>
    <t>E</t>
  </si>
  <si>
    <t>C</t>
  </si>
  <si>
    <t>F</t>
  </si>
  <si>
    <t>Name</t>
  </si>
  <si>
    <t>Task</t>
  </si>
  <si>
    <t>Reason</t>
  </si>
  <si>
    <t>Amount Claimed</t>
  </si>
  <si>
    <t xml:space="preserve">From </t>
  </si>
  <si>
    <t>To</t>
  </si>
  <si>
    <t>Total Hours</t>
  </si>
  <si>
    <t>2. Motor Vehicle Expenses [Up to 3000 cc engine capacity]</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</si>
  <si>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</si>
  <si>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</si>
  <si>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</si>
  <si>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</si>
  <si>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</si>
  <si>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</si>
  <si>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</si>
  <si>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</si>
  <si>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</si>
  <si>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</si>
  <si>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</si>
  <si>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</si>
  <si>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</si>
  <si>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</si>
  <si>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</si>
  <si>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</si>
  <si>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</si>
  <si>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</si>
  <si>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</si>
  <si>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</si>
  <si>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</si>
  <si>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</si>
  <si>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</si>
  <si>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</si>
  <si>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</si>
  <si>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</si>
  <si>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</si>
  <si>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</si>
  <si>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</si>
  <si>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</si>
  <si>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</si>
  <si>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</si>
  <si>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</si>
  <si>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</si>
  <si>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</si>
  <si>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</si>
  <si>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</si>
  <si>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</si>
  <si>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</si>
  <si>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</si>
  <si>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</si>
  <si>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</si>
  <si>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</si>
  <si>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</si>
  <si>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</si>
  <si>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</si>
  <si>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</si>
  <si>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</si>
  <si>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</si>
  <si>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</si>
  <si>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</si>
  <si>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CONSULTANT'S REF. NUMBER   :</t>
  </si>
  <si>
    <t>+</t>
  </si>
  <si>
    <t>CLAIM</t>
  </si>
  <si>
    <t>MAXIMUM FOR "AGENT OF THE CLIENT"</t>
  </si>
  <si>
    <t xml:space="preserve"> Report: Time Based fees </t>
  </si>
  <si>
    <t>TYPE OF PROJECT:</t>
  </si>
  <si>
    <t>WORK ON ALTERATIONS TO EXISTING FACILITIES</t>
  </si>
  <si>
    <t>CIVIL AND STRUCTURAL ENGINEERING PROJECTS</t>
  </si>
  <si>
    <t>ADDITIONAL DESIGN FEE ON REINFORCED CONCRETE &amp; STRUCTURAL STEEL</t>
  </si>
  <si>
    <t>DUPLICATED EXISTING FACILITIES AFFECTED BY 1.25 &amp; .25 FACTORS.</t>
  </si>
  <si>
    <t>PAGE 2 OF INVOICE</t>
  </si>
  <si>
    <t>DUPLICATES NOT AFFECTED BY ANY FACTOR OTHER THAN .25.</t>
  </si>
  <si>
    <t>ADDITIONAL FEE FOR REINFORCED CONCRETE &amp; STRUCTURAL STEEL WORK</t>
  </si>
  <si>
    <t>1. Travelling Time</t>
  </si>
  <si>
    <t>Approved Hours</t>
  </si>
  <si>
    <t>TOTAL VALUE OF ENGINEERING WORK :</t>
  </si>
  <si>
    <t>TOTAL VALUE OF WORKS :</t>
  </si>
  <si>
    <t>DATE OF INVOICE</t>
  </si>
  <si>
    <t>TOTAL FEE FOR WATER AND WASTE WATER TREATMENT WORKS ONLY</t>
  </si>
  <si>
    <t>INPUT VALUES FOR WATER AND WASTE WATER TREATMENT WORKS ONLY</t>
  </si>
  <si>
    <t>TOTAL BASIC FEE</t>
  </si>
  <si>
    <t>STAGE</t>
  </si>
  <si>
    <t>MASS CONCRETE FOUNDATIONS, BRICKWORK AND CLADDING IN EXISTING FACILITIES AFFECTED BY 0.33 &amp; 1.25 FACTORS.</t>
  </si>
  <si>
    <t>MASS CONCRETE FOUNDATIONS, BRICKWORK AND CLADDING IN DUPLICATES AFFECTED BY 0.33 &amp; .25 FACTORS.</t>
  </si>
  <si>
    <t>MASS CONCRETE FOUNDATIONS, BRICKWORK AND CLADDING IN DUPLICATED EXISTING FACILITIES AFFECTED BY 1.25, 0.33 &amp; 0.25 FACTORS.</t>
  </si>
  <si>
    <t xml:space="preserve">ADDITIONAL FEE </t>
  </si>
  <si>
    <t>VALUE FOR CALCULATION PURPOSES</t>
  </si>
  <si>
    <t>BASIC FEE FOR WATER AND WASTE WATER TREATMENT WORKS</t>
  </si>
  <si>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</si>
  <si>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</si>
  <si>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</si>
  <si>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</si>
  <si>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</si>
  <si>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</si>
  <si>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</si>
  <si>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</si>
  <si>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</si>
  <si>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POSTAL ADDRESS:</t>
  </si>
  <si>
    <t>TELEPHONE &amp; FACSIMILE NUMBERS</t>
  </si>
  <si>
    <t>FEES CODE (YEAR)</t>
  </si>
  <si>
    <t>AGENT OF THE CLIENT (OHSA) (Only on Engineering project) (Y/N)</t>
  </si>
  <si>
    <t>Tel</t>
  </si>
  <si>
    <t>SUB-TOTAL</t>
  </si>
  <si>
    <t>ALTERATIONS TO EXISTING W&amp;WWTW FACILITIES ALSO AFFECTED BY 1.25 FACTOR.</t>
  </si>
  <si>
    <t>MASS CONCRETE FOUNDATIONS, BRICKWORK AND CLADDING IN EXISTING W&amp;WWTW FACILITIES ALSO AFFECTED BY BOTH 0.33 &amp; 1.25 FACTORS.</t>
  </si>
  <si>
    <t>DUPLICATES IN W&amp;WWTW FACILITIES NOT AFFECTED BY ANY FACTOR OTHER THAN .25.</t>
  </si>
  <si>
    <t>MASS CONCRETE FOUNDATIONS, BRICKWORK AND CLADDING IN W&amp;WWTW FACILITIES ALSO AFFECTED BY 0.33 FACTOR</t>
  </si>
  <si>
    <t>MASS CONCRETE FOUNDATIONS, BRICKWORK AND CLADDING IN DUPLICATES IN W&amp;WWTW FACILITIES ALSO ALSO AFFECTED BY BOTH 0.33 &amp; .25 FACTORS.</t>
  </si>
  <si>
    <t>DUPLICATED EXISTING W&amp;WWTW FACILITIES ALSO AFFECTED BY BOTH 1.25 &amp; .25 FACTORS.</t>
  </si>
  <si>
    <t>MASS CONCRETE FOUNDATIONS, BRICKWORK AND CLADDING IN DUPLICATED EXISTING W&amp;WWTW FACILITIES ALSO AFFECTED BY 1.25, 0.33 &amp; 0.25 FACTORS.</t>
  </si>
  <si>
    <r>
      <t xml:space="preserve">REPORT STAGE </t>
    </r>
    <r>
      <rPr>
        <b/>
        <sz val="10"/>
        <color indexed="10"/>
        <rFont val="Arial"/>
        <family val="2"/>
      </rPr>
      <t>(If specifically appointed for this service only)</t>
    </r>
  </si>
  <si>
    <t>WORK NOT AFFECTED BY ANY OTHER FACTORS.</t>
  </si>
  <si>
    <t>ALTERATIONS TO EXISTING FACILITIES NOT AFFECTED BY ANY FACTOR OTHER THAN 1.25. (Including concrete cladding)</t>
  </si>
  <si>
    <t>MASS CONCRETE FOUNDATIONS, BRICKWORK AND CLADDING NOT AFFECTED BY ANY FACTOR OTHER THAN 0.33.</t>
  </si>
  <si>
    <t xml:space="preserve">FEE FOR  PRELIMINARY DESIGN, DESIGN &amp; TENDER AND WORKING DRAWING STAGES FOR WATER AND WASTE WATER TREATMENT WORKS </t>
  </si>
  <si>
    <t xml:space="preserve">FEE (d): TIME BASED FEES </t>
  </si>
  <si>
    <t>TOTAL FEES (d) TIME BASED</t>
  </si>
  <si>
    <t>TOTAL FEES (e) EXPENSES AND COSTS (DISBURSEMENTS)</t>
  </si>
  <si>
    <t>FEE (e): FEES FOR EXPENSES AND COSTS (DISBURSEMENTS)</t>
  </si>
  <si>
    <t>CONSTRUCTION MONITORING ONLY</t>
  </si>
  <si>
    <t>Cell</t>
  </si>
  <si>
    <t xml:space="preserve">1. VALUE OF WORK NOT AFFECTED BY ANY FACTORS </t>
  </si>
  <si>
    <t>2. VALUE OF DUPLICATES NOT AFFECTED BY ANY FACTOR OTHER THAN 0.25.</t>
  </si>
  <si>
    <t>3. VALUE OF ALL ALTERATIONS TO EXISTING FACILITIES NOT AFFECTED BY ANY FACTOR OTHER THAN 1.25.</t>
  </si>
  <si>
    <t>4. VALUE OF MASS CONCRETE FOUNDATIONS, BRICKWORK AND CLADDING NOT AFFECTED BY ANY FACTOR OTHER THAN 0.33.</t>
  </si>
  <si>
    <t>5. VALUE OF MASS CONCRETE FOUNDATIONS, BRICKWORK AND CLADDING IN EXISTING FACILITIES AFFECTED BY BOTH 0.33 AND 1.25 FACTORS.</t>
  </si>
  <si>
    <t>6. VALUE OF MASS CONCRETE FOUNDATIONS, BRICKWORK AND CLADDING IN DUPLICATES AFFECTED BY BOTH 0.33 AND 0.25 FACTORS.</t>
  </si>
  <si>
    <t>7. VALUE OF WORK IN DUPLICATED EXISTING FACILITIES AFFECTED BY BOTH 1.25 AND 0.25 FACTORS.</t>
  </si>
  <si>
    <t>8. VALUE OF MASS CONCRETE FOUNDATIONS, BRICKWORK AND CLADDING IN DUPLICATED EXISTING FACILITIES AFFECTED BY 1.25, 0.33 AND 0.25 FACTORS.</t>
  </si>
  <si>
    <t>1. VALUE OF WORK COMPLETED NOT AFFECTED BY ANY FACTORS</t>
  </si>
  <si>
    <t>2. VALUE OF ALL ALTERATIONS TO EXISTING FACILITIES COMPLETED NOT AFFECTED BY ANY FACTOR OTHER THAN THE 1.25.</t>
  </si>
  <si>
    <t>2. VALUE OF W&amp;WW. T. W. DUPLICATES NOT AFFECTED BY ANY FACTOR OTHER THAN 0.25.</t>
  </si>
  <si>
    <t>4. VALUE OF MASS CONCRETE FOUNDATIONS, BRICKWORK AND CLADDING IN W. &amp; WW. T. W NOT AFFECTED BY ANY FACTOR OTHER THAN 0.33.</t>
  </si>
  <si>
    <t>6. VALUE OF MASS CONCRETE FOUNDATIONS, BRICKWORK AND CLADDING IN W. &amp; WW. T. W DUPLICATES AFFECTED BY 0.33 AND 0.25 FACTORS.</t>
  </si>
  <si>
    <t>1. VALUE OF W &amp; WW T W COMPLETED NOT AFFECTED BY OTHER FACTORS</t>
  </si>
  <si>
    <t>ESTIMATES OR TENDER VALUES?</t>
  </si>
  <si>
    <t>PRINCIPAL AGENT FEES</t>
  </si>
  <si>
    <t>TOTAL VALUE OF WATER &amp; WASTEWATER TREATMENT WORKS AFFECTED BY THE 1.25 FACTOR. (Carried over from "WTW Input" sheet)</t>
  </si>
  <si>
    <r>
      <t xml:space="preserve">1. TOTAL COST OF THE WORKS COMPRISING THE PROJECT, INCLUDING P&amp;G &amp; CPA. </t>
    </r>
    <r>
      <rPr>
        <b/>
        <sz val="10"/>
        <color indexed="10"/>
        <rFont val="Arial"/>
        <family val="2"/>
      </rPr>
      <t>(Only if the engineer is appointed as principal agent)</t>
    </r>
  </si>
  <si>
    <t>3. VALUE OF ALL ALTERATIONS TO EXISTING W. &amp; WW. T. W NOT AFFECTED BY ANY FACTOR OTHER THAN 1.25.</t>
  </si>
  <si>
    <t>5. VALUE OF MASS CONCRETE FOUNDATIONS, BRICKWORK AND CLADDING IN EXISTING W. &amp; WW. T. W AFFECTED BY 0.33 AND 1.25 FACTORS.</t>
  </si>
  <si>
    <t>8. VALUE OF MASS CONCRETE FOUNDATIONS, BRICKWORK AND CLADDING IN DUPLICATED EXISTING W. &amp; WW. T. W AFFECTED BY 1.25, 0.33 AND 0.25 FACTORS.</t>
  </si>
  <si>
    <t>7. VALUE OF WORK IN DUPLICATED EXISTING W. &amp; WW. T. W AFFECTED BY 1.25 AND 0.25 FACTORS.</t>
  </si>
  <si>
    <t>2. VALUE OF ALL ALTERATIONS TO EXISTING W &amp; WW T W COMPLETED ALSO AFFECTED BY THE 1.25 FACTOR</t>
  </si>
  <si>
    <t>VALUE OF WATER &amp; WASTEWATER TREATMENT WORKS COMPLETED AFFECTED BY THE 1.25 FACTOR. (Carried over from the "WTW Input" sheet)</t>
  </si>
  <si>
    <t>1. VALUE OF WATER &amp; WASTE WATER TREATMENT WORKS NOT AFFECTED BY OTHER FACTORS</t>
  </si>
  <si>
    <t>ATTACHED TO CLAIM NO</t>
  </si>
  <si>
    <t>1</t>
  </si>
  <si>
    <t>CARRIED OVER</t>
  </si>
  <si>
    <t>38</t>
  </si>
  <si>
    <t xml:space="preserve">CONSTRUCTION MONITORING  &amp; OTHER </t>
  </si>
  <si>
    <t>Time Based fees: Other</t>
  </si>
  <si>
    <t>INPUT ALL INFORMATION FOR THE WHOLE PROJECT</t>
  </si>
  <si>
    <t>Toll Gates</t>
  </si>
  <si>
    <t>TOTAL VALUE OF REINFORCED CONCRETE &amp; STRUCTURAL STEEL :</t>
  </si>
  <si>
    <t>PLUS NON TAXABLE EXPENSES</t>
  </si>
  <si>
    <t xml:space="preserve">FEE FOR CONSTRUCTION AND COMPLETION STAGE OF WATER AND WASTE WATER TREATMENT WORKS </t>
  </si>
  <si>
    <t>NOTE: ALL ITEMS MUST EXCLUDE VAT</t>
  </si>
  <si>
    <t>PERCENTAGE OF FEE TENDERED</t>
  </si>
  <si>
    <t>DUE</t>
  </si>
  <si>
    <t>% OF STANDARD FEES TENDERED FOR PROFESSIONAL SERVICES</t>
  </si>
  <si>
    <t>(Not applicable in case of a tender for professional services)</t>
  </si>
  <si>
    <t>E-MAIL ADDRESS</t>
  </si>
  <si>
    <t>DRAWING NUMBER</t>
  </si>
  <si>
    <t>TEL NO</t>
  </si>
  <si>
    <t>CELL PHONE NO</t>
  </si>
  <si>
    <t>FACSIMILE  NO:</t>
  </si>
  <si>
    <t>COMPANY REGISTRATION NUMBER</t>
  </si>
  <si>
    <t>CLIENT</t>
  </si>
  <si>
    <t>POSTAL ADDRESS</t>
  </si>
  <si>
    <t>POST OFFICE</t>
  </si>
  <si>
    <t>POSTAL CODE</t>
  </si>
  <si>
    <t>STREET &amp; NO</t>
  </si>
  <si>
    <t>TOWN/CITY</t>
  </si>
  <si>
    <t>FAX NO</t>
  </si>
  <si>
    <t>INVOICE NO</t>
  </si>
  <si>
    <t>FAX-TO-EMAIL</t>
  </si>
  <si>
    <t>DRAWING NO:</t>
  </si>
  <si>
    <t>FILE NUMBER:</t>
  </si>
  <si>
    <t>VAT REGISTRATION NO:</t>
  </si>
  <si>
    <t>POST OFF</t>
  </si>
  <si>
    <t>TOWN</t>
  </si>
  <si>
    <t>BUILDING NAME</t>
  </si>
  <si>
    <t>TEL</t>
  </si>
  <si>
    <t>FAX</t>
  </si>
  <si>
    <t>FAX2</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</si>
  <si>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</si>
  <si>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</si>
  <si>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</si>
  <si>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</si>
  <si>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</si>
  <si>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</si>
  <si>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</si>
  <si>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</si>
  <si>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</si>
  <si>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</si>
  <si>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</si>
  <si>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</si>
  <si>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</si>
  <si>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</si>
  <si>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</si>
  <si>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</si>
  <si>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</si>
  <si>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</si>
  <si>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</si>
  <si>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</si>
  <si>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NO:</t>
  </si>
  <si>
    <t>SERVICE</t>
  </si>
  <si>
    <t>cse09</t>
  </si>
  <si>
    <t>ADDRESS</t>
  </si>
  <si>
    <t>1. TOTAL REINFORCED CONCRETE &amp; STRUCTURAL STEEL WORK  BY THE ENGINEER APPROPRIATE TO CLAUSE 4.2.1 (2)  OF THE GAZETTE.</t>
  </si>
  <si>
    <t>1. VALUE OF REINFORCED CONCRETE &amp; STRUCTURAL STEEL WORK  COMPLETED APPROPRIATE TO CLAUSE 4.2.1 (2)  OF THE GAZETTE.</t>
  </si>
  <si>
    <t>VALUE OF ALL WORK COMPLETED, APPROPRIATE TO CLAUSE 4.2.1.(1) OF THE GAZETTE</t>
  </si>
  <si>
    <t>TOTAL PERCENTAGE BASED PROFESSIONAL FEES DUE</t>
  </si>
  <si>
    <t>WCS NO</t>
  </si>
  <si>
    <t>WCS NO:</t>
  </si>
  <si>
    <t xml:space="preserve">WCS NO: </t>
  </si>
  <si>
    <t>NATIONAL DEPARTMENT OF PUBLIC WORKS</t>
  </si>
  <si>
    <t>DPW PROJECT MANAGER</t>
  </si>
  <si>
    <t>DPW FILE NUMBER:</t>
  </si>
  <si>
    <t>WCS NUMBER</t>
  </si>
  <si>
    <t>WORKBOOK FOR THE CALCULATION OF CONSULTING ENGINEER'S FEES IN TERMS OF THE GUIDELINE FOR SERVICES AND FEES PUBLISHED BY ECSA AS AMENDED BY DPW</t>
  </si>
  <si>
    <t>TOTAL VALUE OF ALL WORK BY THE ENGINEER APPROPRIATE TO CLAUSE 4.2.1.(1) OF THE GAZETTE</t>
  </si>
  <si>
    <t>TOTAL VALUE OF ALL WORK BY THE ENGINEER APPROPRIATE TO CLAUSE 4.2.1.(1) OF THE GUIDELINE. (Carried over to the Main Input sheet)</t>
  </si>
  <si>
    <t>TOTAL VALUE OF ALL W &amp; WTW WORK COMPLETED, APPROPRIATE TO CLAUSE 4.2.1.(1) OF THE GAZETTE. Carried over to the "Main Input" sheet)</t>
  </si>
  <si>
    <r>
      <t xml:space="preserve">(A) ESTIMATED OR TENDER VALUES </t>
    </r>
    <r>
      <rPr>
        <b/>
        <sz val="10"/>
        <color indexed="10"/>
        <rFont val="Arial"/>
        <family val="2"/>
      </rPr>
      <t>(STAGES 1 -4)</t>
    </r>
  </si>
  <si>
    <r>
      <t xml:space="preserve">(B) ESTIMATED VALUE FOR DESIGN FEES DURING CONSTRUCTION </t>
    </r>
    <r>
      <rPr>
        <b/>
        <sz val="10"/>
        <color indexed="10"/>
        <rFont val="Arial"/>
        <family val="2"/>
      </rPr>
      <t>(STAGE 5)</t>
    </r>
  </si>
  <si>
    <r>
      <t xml:space="preserve">(D) FINAL MEASURED VALUES INCL. CPA &amp; P&amp;G </t>
    </r>
    <r>
      <rPr>
        <b/>
        <sz val="10"/>
        <color indexed="10"/>
        <rFont val="Arial"/>
        <family val="2"/>
      </rPr>
      <t>(STAGE 6 ONLY)</t>
    </r>
  </si>
  <si>
    <r>
      <t xml:space="preserve">(C) VALUE OF COMPLETED WORK </t>
    </r>
    <r>
      <rPr>
        <b/>
        <sz val="10"/>
        <color indexed="10"/>
        <rFont val="Arial"/>
        <family val="2"/>
      </rPr>
      <t>(STAGE 5 &amp; 6)</t>
    </r>
  </si>
  <si>
    <t>see10</t>
  </si>
  <si>
    <t>DISCIPLINE APPOINTED</t>
  </si>
  <si>
    <t>CIVIL &amp; STRUCTURAL ENGINEERING</t>
  </si>
  <si>
    <t>Y</t>
  </si>
  <si>
    <t>(c) FEE FOR TARGETED/PREFERENTIAL PROCUREMENT</t>
  </si>
  <si>
    <t>FEES (a) INCEPTION, PRELIMINARY DESIGN: CONCEPT AND VIABILITY, DETAIL DESIGN, DOCUMENTATION AND PROCUREMENT STAGES</t>
  </si>
  <si>
    <t>FEES (b) CONTRACT ADMINISTRATION &amp; INSPECTION AND CLOSE OUT STAGES</t>
  </si>
  <si>
    <t>TOTAL PERCENTAGE BASED FEES FOR INCEPTION, PRELIMINARY DESIGN: DETAIL DESIGN, DOCUMENTATION AND PROCUREMENT STAGES (a)</t>
  </si>
  <si>
    <t>TOTAL PERCENTAGE BASED FEES FOR CONTRACT ADMINISTRATION &amp; INSPECTION AND CLOSE OUT STAGES (b)</t>
  </si>
  <si>
    <t>N</t>
  </si>
  <si>
    <t>WCS CONTRACT NUMBER</t>
  </si>
  <si>
    <t xml:space="preserve">CONSULTANT NAME </t>
  </si>
  <si>
    <t>%</t>
  </si>
  <si>
    <t>BASIC FEE (Clause 4.2.1 (1) of the Guideline)</t>
  </si>
  <si>
    <t>CALCULATIONS</t>
  </si>
  <si>
    <t>CLOSE OUT</t>
  </si>
  <si>
    <t>TOTAL PERCENTAGE BASED FEES FOR ALL STAGES ((a)+(b)+(c))</t>
  </si>
  <si>
    <t>TO</t>
  </si>
  <si>
    <t>WCS CONTRACT NO</t>
  </si>
  <si>
    <t>CONSULTANT REF</t>
  </si>
  <si>
    <t>WATER AND WASTEWATER TREATMENT WORKS AFFECTED BY THE 1.25 FACTOR</t>
  </si>
  <si>
    <t>CALCULATIONS FOR WATER AND WASTE WATER TREATMENT WORKS</t>
  </si>
  <si>
    <t>FROM</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</si>
  <si>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</si>
  <si>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</si>
  <si>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</si>
  <si>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</si>
  <si>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</si>
  <si>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</si>
  <si>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</si>
  <si>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</si>
  <si>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</si>
  <si>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</si>
  <si>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</si>
  <si>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</si>
  <si>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Typing, duplicating, etc</t>
  </si>
  <si>
    <t>Site Staff &amp; Other charges</t>
  </si>
  <si>
    <t>VAT</t>
  </si>
  <si>
    <t>Non-Taxable</t>
  </si>
  <si>
    <t xml:space="preserve">Total   R  c   </t>
  </si>
  <si>
    <t>Previous</t>
  </si>
  <si>
    <t>Current</t>
  </si>
  <si>
    <t>Gross</t>
  </si>
  <si>
    <t>Claim No</t>
  </si>
  <si>
    <t>Claim No:</t>
  </si>
  <si>
    <t>Previously claimed</t>
  </si>
  <si>
    <t>A6089/002/9</t>
  </si>
  <si>
    <t>CE 56789/001/6</t>
  </si>
  <si>
    <t>CONSULTANT OFFICE ADDRESS</t>
  </si>
  <si>
    <t>OFFICE ADDRESS/ BUILDING NAME</t>
  </si>
  <si>
    <t>Paul Mashinga</t>
  </si>
  <si>
    <t>Paul.mashinga@dpw.gov.za</t>
  </si>
  <si>
    <t>012 337 2345</t>
  </si>
  <si>
    <t>082 699 3459</t>
  </si>
  <si>
    <t>John Engineer CC</t>
  </si>
  <si>
    <t>P O Box 11111, Boksburg</t>
  </si>
  <si>
    <t>Brightstar building 214, Peach str 1023, Boksburg</t>
  </si>
  <si>
    <t>011 769 3456</t>
  </si>
  <si>
    <t>011 769 3011</t>
  </si>
  <si>
    <t>je@telkom.net</t>
  </si>
  <si>
    <t>400-45678-10</t>
  </si>
  <si>
    <t>CODE</t>
  </si>
  <si>
    <t>OFFICE ADDRESS.</t>
  </si>
  <si>
    <t>12345678</t>
  </si>
  <si>
    <t>TARGETED PROCUREMENT (Y/N)</t>
  </si>
  <si>
    <r>
      <t xml:space="preserve">1. TOTAL COST OF THE WORKS COMPRISING THE PROJECT COMPLETED, DURING CONSTRUCTION &amp; COMPLETION STAGES INCLUDING P&amp;G &amp; CPA. </t>
    </r>
    <r>
      <rPr>
        <b/>
        <sz val="11"/>
        <color indexed="10"/>
        <rFont val="Arial"/>
        <family val="2"/>
      </rPr>
      <t>(Only if the engineer is appointed as principal agent)</t>
    </r>
  </si>
  <si>
    <t>CONSULTANT</t>
  </si>
  <si>
    <t>PRETORIA</t>
  </si>
  <si>
    <t>0001</t>
  </si>
  <si>
    <t>0002</t>
  </si>
  <si>
    <t>012 337 2000</t>
  </si>
  <si>
    <t>012 337 3276</t>
  </si>
  <si>
    <t>086 666 0000</t>
  </si>
  <si>
    <t>Nelspruit Police Station</t>
  </si>
  <si>
    <t>082 344 6756</t>
  </si>
  <si>
    <t>086 610 0300</t>
  </si>
  <si>
    <t>Service DPW567/102</t>
  </si>
  <si>
    <t>CONSULTING ENG.</t>
  </si>
  <si>
    <t>FAX 1</t>
  </si>
  <si>
    <t xml:space="preserve">    TAX INVOICE</t>
  </si>
  <si>
    <r>
      <t>CONTRACT ADMINISTRATION &amp; INSPECTION AND CLOSE-OUT STAGES</t>
    </r>
    <r>
      <rPr>
        <b/>
        <i/>
        <sz val="14"/>
        <color indexed="10"/>
        <rFont val="Arial"/>
        <family val="2"/>
      </rPr>
      <t xml:space="preserve"> (INTERIM PAYMENTS)                                                                                                   ALL VALUES MUST INCLUDE RELEVANT PROPORTION OF P&amp;G AND CPA</t>
    </r>
  </si>
  <si>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</si>
  <si>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t>DPW/001</t>
  </si>
  <si>
    <t>CONSULTING ENGINEER</t>
  </si>
  <si>
    <t>PAGE II OF INPUT DATA</t>
  </si>
  <si>
    <r>
      <t>INCEPTION,  PRELIMINARY DESIGN: CONCEPT AND VIABILITY,  DETAIL DESIGN, DOCUMENTATION AND PROCUREMENT STAGES, ALL VALUES MUST INCLUDE RELEVANT PROPORTION OF P&amp;G AND CPA DURING CONSTRUCTION STAGE.</t>
    </r>
    <r>
      <rPr>
        <b/>
        <i/>
        <sz val="12"/>
        <color indexed="10"/>
        <rFont val="Arial"/>
        <family val="2"/>
      </rPr>
      <t>AND ARE AFFECTED BY THE ADDIONAL FEE FACTOR OF 1.25.</t>
    </r>
  </si>
  <si>
    <r>
      <t>CONTRACT ADMINISTRATION &amp; INSPECTION AND CLOSE-OUT STAGES (INTERIM PAYMENTS)                                                                                                   ALL VALUES MUST INCLUDE RELEVANT PROPORTION OF P&amp;G AND CPA</t>
    </r>
    <r>
      <rPr>
        <b/>
        <i/>
        <sz val="12"/>
        <color indexed="53"/>
        <rFont val="Arial"/>
        <family val="2"/>
      </rPr>
      <t xml:space="preserve"> </t>
    </r>
    <r>
      <rPr>
        <b/>
        <i/>
        <sz val="12"/>
        <color indexed="10"/>
        <rFont val="Arial"/>
        <family val="2"/>
      </rPr>
      <t>AND ARE AFFECTED BY THE ADDIONAL FEE FACTOR OF 1.25.</t>
    </r>
  </si>
  <si>
    <r>
      <t xml:space="preserve">(A) ESTIMATED OR TENDER VALUES </t>
    </r>
    <r>
      <rPr>
        <b/>
        <sz val="11"/>
        <color indexed="10"/>
        <rFont val="Arial"/>
        <family val="2"/>
      </rPr>
      <t>(STAGES 1 -4)</t>
    </r>
  </si>
  <si>
    <r>
      <t xml:space="preserve">(B) ESTIMATED VALUE FOR DESIGN FEES DURING CONSTRUCTION </t>
    </r>
    <r>
      <rPr>
        <b/>
        <sz val="11"/>
        <color indexed="10"/>
        <rFont val="Arial"/>
        <family val="2"/>
      </rPr>
      <t>(STAGE 5)</t>
    </r>
  </si>
  <si>
    <r>
      <t xml:space="preserve">(D) FINAL MEASURED VALUES INCL. CPA &amp; P&amp;G </t>
    </r>
    <r>
      <rPr>
        <b/>
        <sz val="11"/>
        <color indexed="10"/>
        <rFont val="Arial"/>
        <family val="2"/>
      </rPr>
      <t>(STAGE 6 ONLY)</t>
    </r>
  </si>
  <si>
    <t>CONSULTING ENG</t>
  </si>
  <si>
    <t>TENDER VALUES</t>
  </si>
  <si>
    <r>
      <t>CONTRACT ADMINISTRATION &amp; INSPECTION AND CLOSE-OUT STAGES (INTERIM PAYMENTS)                                                                                                   ALL VALUES MUST INCLUDE RELEVANT PROPORTION OF P&amp;G AND CPA</t>
    </r>
    <r>
      <rPr>
        <b/>
        <i/>
        <sz val="12"/>
        <color indexed="53"/>
        <rFont val="Arial"/>
        <family val="2"/>
      </rPr>
      <t xml:space="preserve"> </t>
    </r>
    <r>
      <rPr>
        <b/>
        <i/>
        <sz val="12"/>
        <color indexed="10"/>
        <rFont val="Arial"/>
        <family val="2"/>
      </rPr>
      <t>AND ARE AFFECTED BY T</t>
    </r>
  </si>
  <si>
    <t xml:space="preserve">CIVIL &amp; STRUCTURAL ENGINEERING  </t>
  </si>
  <si>
    <t/>
  </si>
  <si>
    <t>PERCENTAGE BASED FEES</t>
  </si>
  <si>
    <t>STAGE COMPLETED</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</si>
  <si>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</si>
  <si>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</si>
  <si>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</si>
  <si>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</si>
  <si>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</si>
  <si>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</si>
  <si>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</si>
  <si>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COMMENTS</t>
  </si>
  <si>
    <t>ADDITIONAL FEE FOR REINFORCED CONCRETE &amp; STRUCTURAL STEEL. (Clause 4.2.1 (2))</t>
  </si>
  <si>
    <t>Rate (R)</t>
  </si>
  <si>
    <t>Tariff (R)</t>
  </si>
  <si>
    <t>Approved rate (R)</t>
  </si>
  <si>
    <t>PENALTY APPLIED</t>
  </si>
  <si>
    <t>Yes</t>
  </si>
  <si>
    <t>NOT REGISTERED</t>
  </si>
  <si>
    <t>PERCENTAGE OF STAGE COMPLETED</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</si>
  <si>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</si>
  <si>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</si>
  <si>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</si>
  <si>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</si>
  <si>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</si>
  <si>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</si>
  <si>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</si>
  <si>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</si>
  <si>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</si>
  <si>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</si>
  <si>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</si>
  <si>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</si>
  <si>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</si>
  <si>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</si>
  <si>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LESS PENALTY</t>
  </si>
  <si>
    <r>
      <t xml:space="preserve">(A) ESTIMATED OR TENDER VALUES </t>
    </r>
    <r>
      <rPr>
        <sz val="11"/>
        <color indexed="10"/>
        <rFont val="Arial"/>
        <family val="2"/>
      </rPr>
      <t>(STAGES 1 -4)</t>
    </r>
  </si>
  <si>
    <r>
      <t xml:space="preserve">(B) ESTIMATED VALUE FOR DESIGN FEES DURING CONSTRUCTION </t>
    </r>
    <r>
      <rPr>
        <sz val="11"/>
        <color indexed="10"/>
        <rFont val="Arial"/>
        <family val="2"/>
      </rPr>
      <t>(STAGE 5)</t>
    </r>
  </si>
  <si>
    <r>
      <t xml:space="preserve">(D) FINAL MEASURED VALUES INCL. CPA &amp; P&amp;G </t>
    </r>
    <r>
      <rPr>
        <sz val="11"/>
        <color indexed="10"/>
        <rFont val="Arial"/>
        <family val="2"/>
      </rPr>
      <t>(STAGE 6 ONLY)</t>
    </r>
  </si>
  <si>
    <t>No</t>
  </si>
  <si>
    <t>2012 Scales</t>
  </si>
  <si>
    <t>SCALE_2012SE1</t>
  </si>
  <si>
    <t>SCALE_2012SE2</t>
  </si>
  <si>
    <t>N/A for INCEPTION, CONTRACT ADMINISTRATION or CLOSE-OUT STAGE</t>
  </si>
  <si>
    <t xml:space="preserve">Input the dates in the following format: "ddmmmyy" (13sep11). </t>
  </si>
  <si>
    <t>For any information, clarification or assistance please phone Ms Magda van Es at 012 452 0446 or 082 887 1705 - E-mail magda@virtualconsulting.co.za or Charles Beaurain @ 0823907612/0125676957</t>
  </si>
  <si>
    <r>
      <t>(1)</t>
    </r>
    <r>
      <rPr>
        <sz val="7"/>
        <rFont val="Times New Roman"/>
        <family val="1"/>
      </rPr>
      <t xml:space="preserve">           </t>
    </r>
    <r>
      <rPr>
        <b/>
        <u/>
        <sz val="10"/>
        <rFont val="Arial"/>
        <family val="2"/>
      </rPr>
      <t>Multi-Disciplinary Project</t>
    </r>
    <r>
      <rPr>
        <sz val="10"/>
        <rFont val="Arial"/>
        <family val="2"/>
      </rPr>
      <t xml:space="preserve"> means a project comprising building work, together with its associated engineering work, where the engineer is subject to the authority of another professional acting as the Principal Agent while financial and administrative matters are dealt with by another professional</t>
    </r>
  </si>
  <si>
    <t>MULTI-DISCIPLINARY PROJECT</t>
  </si>
  <si>
    <t>ENGINEERING PROJECT</t>
  </si>
  <si>
    <t>STRUCTURAL ENGINEERING</t>
  </si>
  <si>
    <t>Project managers are advised to re-enter the data (at least for the Schedules) into their personal copies of the spread sheets to check the fee accounts, because the calculators used by other person might have been changed inadvertently!</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</si>
  <si>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</si>
  <si>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Fee in accordance with the National Department of Public Works Scope of Engineering Services and Tariff of Fees for Persons Registered in terms of the Engineering Profession Act, 2000 (Act No. 46 of 2000) dated 1 January 2012</t>
  </si>
  <si>
    <t>445 PRETORIUS STREET</t>
  </si>
  <si>
    <t>CENTRAL GOVERNMENT OFFICES</t>
  </si>
  <si>
    <t>PRIVATE BAG X65</t>
  </si>
  <si>
    <t>Rate</t>
  </si>
  <si>
    <t>THE FEE ACCOUNT</t>
  </si>
  <si>
    <t>(a)</t>
  </si>
  <si>
    <t>Covering letter and TAX invoice  - must be signed by a Principal/Director of the Consultant Firm</t>
  </si>
  <si>
    <t>(b)</t>
  </si>
  <si>
    <t>(c)</t>
  </si>
  <si>
    <t>(d)</t>
  </si>
  <si>
    <t xml:space="preserve">(e) </t>
  </si>
  <si>
    <t xml:space="preserve">(f) </t>
  </si>
  <si>
    <t>(g)</t>
  </si>
  <si>
    <t>The Record Drawings/As-Build's, must be attached to the final account as well as all drawings issued during the contract</t>
  </si>
  <si>
    <t>ANNEXURE A3</t>
  </si>
  <si>
    <t>SUMMARY  OF  FEE  ACCOUNT</t>
  </si>
  <si>
    <t>CLAIM No  :</t>
  </si>
  <si>
    <t>:</t>
  </si>
  <si>
    <t xml:space="preserve"> Name of Service</t>
  </si>
  <si>
    <t>WCS</t>
  </si>
  <si>
    <t xml:space="preserve"> Name of Consultant Firm</t>
  </si>
  <si>
    <t xml:space="preserve"> Address of Consultant Firm</t>
  </si>
  <si>
    <t xml:space="preserve"> Departmental File Ref</t>
  </si>
  <si>
    <t>Our Ref No.</t>
  </si>
  <si>
    <t xml:space="preserve"> VAT Registration No.</t>
  </si>
  <si>
    <t>Tax Invoice No.</t>
  </si>
  <si>
    <t xml:space="preserve"> 1. PROFESSIONAL FEES</t>
  </si>
  <si>
    <t>Total (No VAT)</t>
  </si>
  <si>
    <t>SCHEDULE</t>
  </si>
  <si>
    <t xml:space="preserve"> Tariff of Fees</t>
  </si>
  <si>
    <t>(From Tax Invoice)</t>
  </si>
  <si>
    <t>Cumulative to date Amount</t>
  </si>
  <si>
    <t>This Claim Amount</t>
  </si>
  <si>
    <t>V</t>
  </si>
  <si>
    <t xml:space="preserve"> Time Basis Fee</t>
  </si>
  <si>
    <t>Report Fee</t>
  </si>
  <si>
    <t>Construction Monitoring (If applicable)</t>
  </si>
  <si>
    <t>Other  -  Specify</t>
  </si>
  <si>
    <t xml:space="preserve"> Less  :</t>
  </si>
  <si>
    <t>Report Fee now Included in Tariff</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</si>
  <si>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</si>
  <si>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</si>
  <si>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</si>
  <si>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</si>
  <si>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</si>
  <si>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</si>
  <si>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</si>
  <si>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</si>
  <si>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</si>
  <si>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</si>
  <si>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</si>
  <si>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</si>
  <si>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</si>
  <si>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</si>
  <si>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</si>
  <si>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</si>
  <si>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</si>
  <si>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</si>
  <si>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 xml:space="preserve"> AMOUNT OF THIS CLAIM  No  :</t>
  </si>
  <si>
    <t>NOTE: COMPLETE ONLY THE APPROPRIATE SECTIONS</t>
  </si>
  <si>
    <t>ESTIMATED TOTAL ENGINEERING FEES</t>
  </si>
  <si>
    <r>
      <t xml:space="preserve">(C) VALUE OF COMPLETED WORK </t>
    </r>
    <r>
      <rPr>
        <b/>
        <sz val="11"/>
        <color indexed="10"/>
        <rFont val="Arial"/>
        <family val="2"/>
      </rPr>
      <t>(STAGE 5 &amp; 6)</t>
    </r>
  </si>
  <si>
    <t>CLAIM NO:</t>
  </si>
  <si>
    <r>
      <rPr>
        <b/>
        <sz val="20"/>
        <color indexed="10"/>
        <rFont val="Arial"/>
        <family val="2"/>
      </rPr>
      <t>PLEASE READ THE NOTES (1st SHEET) BEFORE STARTING TO POPULATE THE SHEETS.</t>
    </r>
    <r>
      <rPr>
        <b/>
        <sz val="22"/>
        <color indexed="10"/>
        <rFont val="Arial"/>
        <family val="2"/>
      </rPr>
      <t xml:space="preserve"> COMPLETE ALL YELLOW CELLS PLEASE !!!</t>
    </r>
  </si>
  <si>
    <t>PC</t>
  </si>
  <si>
    <t>Percentage based fees</t>
  </si>
  <si>
    <t>TOTAL PERCENTAGE BASED AND TIME BASED FEES</t>
  </si>
  <si>
    <t>TOTAL PERCENTAGE BASED AND TIME BASED FEE CLAIM</t>
  </si>
  <si>
    <t>SCHEDULE W: SUBSISTENCE &amp; TRAVELLING EXPENSES</t>
  </si>
  <si>
    <t>Trip No</t>
  </si>
  <si>
    <t>3. Subsistence Charges [See your letter of appointment. Use either Table 4 or Table 5, not both]</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</si>
  <si>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</si>
  <si>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</si>
  <si>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</si>
  <si>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</si>
  <si>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</si>
  <si>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</si>
  <si>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</si>
  <si>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</si>
  <si>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</si>
  <si>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</si>
  <si>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</si>
  <si>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</si>
  <si>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</si>
  <si>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</si>
  <si>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</si>
  <si>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</si>
  <si>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</si>
  <si>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</si>
  <si>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</si>
  <si>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</si>
  <si>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</si>
  <si>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</si>
  <si>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</si>
  <si>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</si>
  <si>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</si>
  <si>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</si>
  <si>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</si>
  <si>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</si>
  <si>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</si>
  <si>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</si>
  <si>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</si>
  <si>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</si>
  <si>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</si>
  <si>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</si>
  <si>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</si>
  <si>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</si>
  <si>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</si>
  <si>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</si>
  <si>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</si>
  <si>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</si>
  <si>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</si>
  <si>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</si>
  <si>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</si>
  <si>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</si>
  <si>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</si>
  <si>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</si>
  <si>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</si>
  <si>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</si>
  <si>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</si>
  <si>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</si>
  <si>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</si>
  <si>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</si>
  <si>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</si>
  <si>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</si>
  <si>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</si>
  <si>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</si>
  <si>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</si>
  <si>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</si>
  <si>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</si>
  <si>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</si>
  <si>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</si>
  <si>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</si>
  <si>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</si>
  <si>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</si>
  <si>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</si>
  <si>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</si>
  <si>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</si>
  <si>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</si>
  <si>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</si>
  <si>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</si>
  <si>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</si>
  <si>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</si>
  <si>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</si>
  <si>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</si>
  <si>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</si>
  <si>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</si>
  <si>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</si>
  <si>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</si>
  <si>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</si>
  <si>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</si>
  <si>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</si>
  <si>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</si>
  <si>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</si>
  <si>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</si>
  <si>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</si>
  <si>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</si>
  <si>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</si>
  <si>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</si>
  <si>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</si>
  <si>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</si>
  <si>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</si>
  <si>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</si>
  <si>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</si>
  <si>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</si>
  <si>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</si>
  <si>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</si>
  <si>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</si>
  <si>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</si>
  <si>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</si>
  <si>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</si>
  <si>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</si>
  <si>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</si>
  <si>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</si>
  <si>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</si>
  <si>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</si>
  <si>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</si>
  <si>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</si>
  <si>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</si>
  <si>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</si>
  <si>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</si>
  <si>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</si>
  <si>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</si>
  <si>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</si>
  <si>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</si>
  <si>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D: Survey, Soil Tests and Other Charges</t>
  </si>
  <si>
    <t>Cumulative Survey, Soil Tests and Other Charges Excl VAT</t>
  </si>
  <si>
    <t>Cumulative Travelling expenses</t>
  </si>
  <si>
    <t>Cumulative Site Staff Charges Excl VAT</t>
  </si>
  <si>
    <t>SURVEY, SOIL TESTS AND OTHER CHARGES</t>
  </si>
  <si>
    <t>SITE STAFF CHARGES</t>
  </si>
  <si>
    <t>Cumulative Site Staff, Soil Tests  &amp; Other Charges Excl VAT</t>
  </si>
  <si>
    <t>Cumulative Part Time Supervision Excl VAT</t>
  </si>
  <si>
    <t>Cumulative Full Time Supervision Excl VAT</t>
  </si>
  <si>
    <t>( c )</t>
  </si>
  <si>
    <t>Total VAT</t>
  </si>
  <si>
    <t>A. By private car</t>
  </si>
  <si>
    <t>Hours claimed*</t>
  </si>
  <si>
    <t>OUTWARD JOURNEY</t>
  </si>
  <si>
    <t>RETURN JOURNEY</t>
  </si>
  <si>
    <t>Travelling time (hrs.)</t>
  </si>
  <si>
    <t>Trip No.</t>
  </si>
  <si>
    <t>First destination</t>
  </si>
  <si>
    <t>Second Destination</t>
  </si>
  <si>
    <t>Arrival date &amp; time at second destination</t>
  </si>
  <si>
    <t>Date &amp; Time</t>
  </si>
  <si>
    <t>Home</t>
  </si>
  <si>
    <t>OR Tambo</t>
  </si>
  <si>
    <t>CPT RM</t>
  </si>
  <si>
    <t>CPT Airport</t>
  </si>
  <si>
    <t>Toyota</t>
  </si>
  <si>
    <t>From</t>
  </si>
  <si>
    <t>Destination</t>
  </si>
  <si>
    <t>Parking Charges</t>
  </si>
  <si>
    <t>Rate/km ( R)</t>
  </si>
  <si>
    <t>City / Town</t>
  </si>
  <si>
    <t xml:space="preserve">Total Hours </t>
  </si>
  <si>
    <t>4. Other Transport/Air/Bus/Hired vehicle/other</t>
  </si>
  <si>
    <t>Service Provider</t>
  </si>
  <si>
    <t>Flight No Outward</t>
  </si>
  <si>
    <t>Flight No Return</t>
  </si>
  <si>
    <t>Total this claim</t>
  </si>
  <si>
    <t>SUBSISTENCE &amp; TRAVELLING CHARGES</t>
  </si>
  <si>
    <t>Total Previously claimed</t>
  </si>
  <si>
    <t>B. **By Airways - Including time travelled by own or hired car or shuttle. Attach all air ticket receipts and other relevant documents</t>
  </si>
  <si>
    <t xml:space="preserve"> TOTAL TIME BASIS FEE THIS CLAIM:</t>
  </si>
  <si>
    <t>Previously claimed (Including for Agent of the Client)</t>
  </si>
  <si>
    <t>Cumulative Other: Time Based fees Excl. VAT</t>
  </si>
  <si>
    <t>Cumulative Report Stage, Construction monitoring &amp; Other TOTAL Excl. VAT</t>
  </si>
  <si>
    <t xml:space="preserve"> Cumulative Agent of the client: Time Based fees Excl. VAT</t>
  </si>
  <si>
    <t xml:space="preserve"> Cumulative Report: Time Based fees Excl. VAT</t>
  </si>
  <si>
    <t>Cumulative Construction monitoring: Time Based fees Excl. VAT</t>
  </si>
  <si>
    <t>(Import information from Trip Sheet Form A5)</t>
  </si>
  <si>
    <t>Cumulative Travelling Time claim Excl. VAT</t>
  </si>
  <si>
    <t>Cumulative Travelling Time for air travel claim Excl. VAT</t>
  </si>
  <si>
    <t>Cumulative Total Travelling Time Excl. VAT</t>
  </si>
  <si>
    <t>Cumulative Motor Vehicle Expenses Excl. VAT</t>
  </si>
  <si>
    <t>Cumulative Subsistence Charges  Excl. VAT</t>
  </si>
  <si>
    <t>Cumulative Public Transport  Excl. VAT</t>
  </si>
  <si>
    <t>Cumulative Travelling &amp; Other Transport Total Excl. VAT</t>
  </si>
  <si>
    <t>Cumulative Typing Duplicating &amp; Printing costs Excl VAT</t>
  </si>
  <si>
    <t>Cumulative Covers &amp; Binders Total</t>
  </si>
  <si>
    <t>Cumulative Duplicating Total</t>
  </si>
  <si>
    <t>Cumulative Typing Total</t>
  </si>
  <si>
    <t>Cumulative Printing Total</t>
  </si>
  <si>
    <t>Cumulative Non Taxable Expenses Total</t>
  </si>
  <si>
    <t>City/Town/Site name</t>
  </si>
  <si>
    <t>Agent of the Client (OHSA)</t>
  </si>
  <si>
    <t>Version: 1.1  2012-10</t>
  </si>
  <si>
    <t>PENALTY APPLIED (Excl VAT)</t>
  </si>
  <si>
    <t>Less Penalty Applied</t>
  </si>
  <si>
    <t>PLUS NON VAT ITEMS</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</si>
  <si>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</si>
  <si>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</si>
  <si>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</si>
  <si>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The completed Site Staff request and approval (PRM033: ) must be attached to each account when costs for Site Staff is claimed</t>
  </si>
  <si>
    <t>The Record Drawings/As-Build's, must be attached to the final fee account as well as all drawings issued during the contract</t>
  </si>
  <si>
    <t>No fee account shall be submitted to the DPW Project Manager without all the relevant information and the documents as listed below attached and of which examples and forms, form part this document :</t>
  </si>
  <si>
    <r>
      <rPr>
        <b/>
        <sz val="11"/>
        <rFont val="Arial"/>
        <family val="2"/>
      </rPr>
      <t>1. AGENT OF THE CLIENT FEES CALCULATED ON TIME BASIS</t>
    </r>
    <r>
      <rPr>
        <b/>
        <sz val="11"/>
        <color indexed="10"/>
        <rFont val="Arial"/>
        <family val="2"/>
      </rPr>
      <t xml:space="preserve">: </t>
    </r>
    <r>
      <rPr>
        <b/>
        <sz val="11"/>
        <color rgb="FFFF0000"/>
        <rFont val="Arial"/>
        <family val="2"/>
      </rPr>
      <t>TO BE CAPPED ON 6% OF BASIC FEES</t>
    </r>
  </si>
  <si>
    <t>2. Report stage (Only if specifically appointed as such)</t>
  </si>
  <si>
    <t>3. Construction monitoring (only after written approval)</t>
  </si>
  <si>
    <t>4. Other</t>
  </si>
  <si>
    <t>Subsitence, Travelling, etc.</t>
  </si>
  <si>
    <t>PREVIOUS CLAIMS</t>
  </si>
  <si>
    <t>CLAIM NO</t>
  </si>
  <si>
    <t>Portion claimed %</t>
  </si>
  <si>
    <t>WCS No</t>
  </si>
  <si>
    <t>DETAIL DESIGN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</si>
</sst>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7" formatCode="&quot;R&quot;\ #,##0.00;&quot;R&quot;\ \-#,##0.00"/>
    <numFmt numFmtId="42" formatCode="_ &quot;R&quot;\ * #,##0_ ;_ &quot;R&quot;\ * \-#,##0_ ;_ &quot;R&quot;\ * &quot;-&quot;_ ;_ @_ "/>
    <numFmt numFmtId="44" formatCode="_ &quot;R&quot;\ * #,##0.00_ ;_ &quot;R&quot;\ * \-#,##0.00_ ;_ &quot;R&quot;\ * &quot;-&quot;??_ ;_ @_ "/>
    <numFmt numFmtId="43" formatCode="_ * #,##0.00_ ;_ * \-#,##0.00_ ;_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1C09]dd\ mmmm\ yyyy;@"/>
    <numFmt numFmtId="172" formatCode="&quot;R&quot;\ #,##0"/>
    <numFmt numFmtId="173" formatCode="General_)"/>
    <numFmt numFmtId="174" formatCode="dd\ mmmm\ yyyy"/>
    <numFmt numFmtId="175" formatCode="0.000"/>
    <numFmt numFmtId="176" formatCode="dd\-mmm\-yyyy"/>
    <numFmt numFmtId="177" formatCode="000000"/>
    <numFmt numFmtId="178" formatCode="0000"/>
    <numFmt numFmtId="179" formatCode="&quot;R&quot;\ #,##0.0"/>
    <numFmt numFmtId="180" formatCode="00"/>
    <numFmt numFmtId="181" formatCode="000"/>
    <numFmt numFmtId="182" formatCode="0.0"/>
    <numFmt numFmtId="183" formatCode="[$R-1C09]\ #,##0.00"/>
    <numFmt numFmtId="184" formatCode="dd\-mmm\-yy\ hh:mm"/>
    <numFmt numFmtId="185" formatCode="dd\-mmm\-yy_)"/>
  </numFmts>
  <fonts count="139"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amily val="2"/>
    </font>
    <font>
      <b/>
      <sz val="11"/>
      <color indexed="10"/>
      <name val="Arial"/>
      <family val="2"/>
    </font>
    <font>
      <b/>
      <sz val="15"/>
      <name val="Arial"/>
      <family val="2"/>
    </font>
    <font>
      <b/>
      <sz val="12"/>
      <color indexed="10"/>
      <name val="Arial"/>
      <family val="2"/>
    </font>
    <font>
      <b/>
      <i/>
      <sz val="12"/>
      <color indexed="10"/>
      <name val="Arial"/>
      <family val="2"/>
    </font>
    <font>
      <i/>
      <sz val="10"/>
      <name val="Arial"/>
      <family val="2"/>
    </font>
    <font>
      <b/>
      <i/>
      <sz val="10"/>
      <name val="Arial"/>
      <family val="2"/>
    </font>
    <font>
      <b/>
      <i/>
      <sz val="12"/>
      <name val="Arial"/>
      <family val="2"/>
    </font>
    <font>
      <b/>
      <i/>
      <sz val="12"/>
      <color indexed="53"/>
      <name val="Arial"/>
      <family val="2"/>
    </font>
    <font>
      <i/>
      <sz val="12"/>
      <name val="Arial"/>
      <family val="2"/>
    </font>
    <font>
      <i/>
      <sz val="12"/>
      <color indexed="12"/>
      <name val="Arial"/>
      <family val="2"/>
    </font>
    <font>
      <b/>
      <i/>
      <sz val="12"/>
      <color indexed="12"/>
      <name val="Arial"/>
      <family val="2"/>
    </font>
    <font>
      <b/>
      <sz val="14"/>
      <color indexed="12"/>
      <name val="Arial"/>
      <family val="2"/>
    </font>
    <font>
      <b/>
      <sz val="18"/>
      <color indexed="10"/>
      <name val="Arial"/>
      <family val="2"/>
    </font>
    <font>
      <sz val="14"/>
      <name val="Arial"/>
      <family val="2"/>
    </font>
    <font>
      <b/>
      <i/>
      <sz val="10"/>
      <color indexed="10"/>
      <name val="Arial"/>
      <family val="2"/>
    </font>
    <font>
      <b/>
      <sz val="12"/>
      <color indexed="8"/>
      <name val="Arial"/>
      <family val="2"/>
    </font>
    <font>
      <b/>
      <sz val="10"/>
      <color indexed="12"/>
      <name val="Arial"/>
      <family val="2"/>
    </font>
    <font>
      <b/>
      <sz val="16"/>
      <color indexed="12"/>
      <name val="Arial"/>
      <family val="2"/>
    </font>
    <font>
      <b/>
      <sz val="12"/>
      <color indexed="12"/>
      <name val="Arial"/>
      <family val="2"/>
    </font>
    <font>
      <sz val="14"/>
      <color indexed="8"/>
      <name val="Arial"/>
      <family val="2"/>
    </font>
    <font>
      <b/>
      <u/>
      <sz val="12"/>
      <color indexed="12"/>
      <name val="Arial"/>
      <family val="2"/>
    </font>
    <font>
      <b/>
      <sz val="11"/>
      <color indexed="8"/>
      <name val="Arial"/>
      <family val="2"/>
    </font>
    <font>
      <b/>
      <sz val="11"/>
      <color indexed="12"/>
      <name val="Arial"/>
      <family val="2"/>
    </font>
    <font>
      <sz val="12"/>
      <color indexed="8"/>
      <name val="Arial"/>
      <family val="2"/>
    </font>
    <font>
      <b/>
      <u/>
      <sz val="14"/>
      <color indexed="12"/>
      <name val="Arial"/>
      <family val="2"/>
    </font>
    <font>
      <b/>
      <u/>
      <sz val="11"/>
      <name val="Arial"/>
      <family val="2"/>
    </font>
    <font>
      <b/>
      <sz val="22"/>
      <color indexed="10"/>
      <name val="Arial"/>
      <family val="2"/>
    </font>
    <font>
      <sz val="22"/>
      <name val="Arial"/>
      <family val="2"/>
    </font>
    <font>
      <b/>
      <sz val="10"/>
      <color indexed="81"/>
      <name val="Tahoma"/>
      <family val="2"/>
    </font>
    <font>
      <sz val="10"/>
      <color indexed="81"/>
      <name val="Tahoma"/>
      <family val="2"/>
    </font>
    <font>
      <i/>
      <sz val="11"/>
      <name val="Arial"/>
      <family val="2"/>
    </font>
    <font>
      <i/>
      <sz val="14"/>
      <name val="Arial"/>
      <family val="2"/>
    </font>
    <font>
      <b/>
      <sz val="20"/>
      <color indexed="10"/>
      <name val="Arial"/>
      <family val="2"/>
    </font>
    <font>
      <b/>
      <u/>
      <sz val="12"/>
      <color indexed="16"/>
      <name val="Arial"/>
      <family val="2"/>
    </font>
    <font>
      <b/>
      <sz val="12"/>
      <color indexed="16"/>
      <name val="Arial"/>
      <family val="2"/>
    </font>
    <font>
      <sz val="12"/>
      <color indexed="16"/>
      <name val="Arial"/>
      <family val="2"/>
    </font>
    <font>
      <b/>
      <u/>
      <sz val="10"/>
      <color indexed="16"/>
      <name val="Arial"/>
      <family val="2"/>
    </font>
    <font>
      <sz val="20"/>
      <color indexed="10"/>
      <name val="Arial"/>
      <family val="2"/>
    </font>
    <font>
      <sz val="16"/>
      <name val="Arial"/>
      <family val="2"/>
    </font>
    <font>
      <sz val="9"/>
      <name val="Arial"/>
      <family val="2"/>
    </font>
    <font>
      <b/>
      <u/>
      <sz val="12"/>
      <name val="Arial"/>
      <family val="2"/>
    </font>
    <font>
      <b/>
      <i/>
      <u/>
      <sz val="14"/>
      <color indexed="8"/>
      <name val="Arial"/>
      <family val="2"/>
    </font>
    <font>
      <b/>
      <u/>
      <sz val="12"/>
      <color indexed="10"/>
      <name val="Arial"/>
      <family val="2"/>
    </font>
    <font>
      <b/>
      <i/>
      <sz val="11"/>
      <name val="Arial"/>
      <family val="2"/>
    </font>
    <font>
      <sz val="11"/>
      <color indexed="10"/>
      <name val="Arial"/>
      <family val="2"/>
    </font>
    <font>
      <b/>
      <sz val="12"/>
      <color indexed="17"/>
      <name val="Arial"/>
      <family val="2"/>
    </font>
    <font>
      <b/>
      <sz val="12"/>
      <color indexed="57"/>
      <name val="Arial"/>
      <family val="2"/>
    </font>
    <font>
      <sz val="10"/>
      <color indexed="10"/>
      <name val="Arial"/>
      <family val="2"/>
    </font>
    <font>
      <b/>
      <sz val="18"/>
      <color indexed="60"/>
      <name val="Arial"/>
      <family val="2"/>
    </font>
    <font>
      <sz val="12"/>
      <color indexed="60"/>
      <name val="Arial"/>
      <family val="2"/>
    </font>
    <font>
      <b/>
      <sz val="11"/>
      <color indexed="15"/>
      <name val="Arial"/>
      <family val="2"/>
    </font>
    <font>
      <sz val="11"/>
      <color indexed="41"/>
      <name val="Arial"/>
      <family val="2"/>
    </font>
    <font>
      <sz val="11"/>
      <color indexed="15"/>
      <name val="Arial"/>
      <family val="2"/>
    </font>
    <font>
      <b/>
      <sz val="22"/>
      <color indexed="57"/>
      <name val="Arial"/>
      <family val="2"/>
    </font>
    <font>
      <b/>
      <sz val="11"/>
      <color indexed="17"/>
      <name val="Arial"/>
      <family val="2"/>
    </font>
    <font>
      <i/>
      <sz val="11"/>
      <color indexed="12"/>
      <name val="Arial"/>
      <family val="2"/>
    </font>
    <font>
      <b/>
      <sz val="12"/>
      <color indexed="58"/>
      <name val="Arial"/>
      <family val="2"/>
    </font>
    <font>
      <b/>
      <sz val="14"/>
      <name val="Arial"/>
      <family val="2"/>
    </font>
    <font>
      <sz val="12"/>
      <color indexed="22"/>
      <name val="Courier"/>
      <family val="3"/>
    </font>
    <font>
      <b/>
      <sz val="18"/>
      <color indexed="12"/>
      <name val="Arial"/>
      <family val="2"/>
    </font>
    <font>
      <sz val="18"/>
      <color indexed="12"/>
      <name val="Arial"/>
      <family val="2"/>
    </font>
    <font>
      <b/>
      <sz val="16"/>
      <color indexed="16"/>
      <name val="Arial"/>
      <family val="2"/>
    </font>
    <font>
      <sz val="16"/>
      <color indexed="16"/>
      <name val="Arial"/>
      <family val="2"/>
    </font>
    <font>
      <sz val="11"/>
      <color indexed="17"/>
      <name val="Arial"/>
      <family val="2"/>
    </font>
    <font>
      <sz val="8"/>
      <name val="Arial"/>
      <family val="2"/>
    </font>
    <font>
      <b/>
      <u/>
      <sz val="16"/>
      <name val="Arial"/>
      <family val="2"/>
    </font>
    <font>
      <b/>
      <sz val="10"/>
      <color indexed="16"/>
      <name val="Arial"/>
      <family val="2"/>
    </font>
    <font>
      <b/>
      <u/>
      <sz val="18"/>
      <name val="Arial"/>
      <family val="2"/>
    </font>
    <font>
      <b/>
      <i/>
      <sz val="10"/>
      <color indexed="8"/>
      <name val="Arial"/>
      <family val="2"/>
    </font>
    <font>
      <sz val="9"/>
      <color indexed="8"/>
      <name val="Arial"/>
      <family val="2"/>
    </font>
    <font>
      <u/>
      <sz val="12"/>
      <name val="Arial"/>
      <family val="2"/>
    </font>
    <font>
      <b/>
      <u/>
      <sz val="14"/>
      <name val="Arial"/>
      <family val="2"/>
    </font>
    <font>
      <sz val="14"/>
      <color indexed="12"/>
      <name val="Arial"/>
      <family val="2"/>
    </font>
    <font>
      <sz val="18"/>
      <name val="Arial"/>
      <family val="2"/>
    </font>
    <font>
      <sz val="10"/>
      <color indexed="41"/>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b/>
      <sz val="14"/>
      <color indexed="58"/>
      <name val="Arial"/>
      <family val="2"/>
    </font>
    <font>
      <b/>
      <i/>
      <sz val="14"/>
      <color indexed="10"/>
      <name val="Arial"/>
      <family val="2"/>
    </font>
    <font>
      <b/>
      <i/>
      <sz val="14"/>
      <name val="Arial"/>
      <family val="2"/>
    </font>
    <font>
      <b/>
      <sz val="14"/>
      <color indexed="10"/>
      <name val="Arial"/>
      <family val="2"/>
    </font>
    <font>
      <sz val="12"/>
      <color indexed="10"/>
      <name val="Tahoma"/>
      <family val="2"/>
    </font>
    <font>
      <sz val="10"/>
      <color indexed="10"/>
      <name val="Tahoma"/>
      <family val="2"/>
    </font>
    <font>
      <sz val="14"/>
      <color indexed="10"/>
      <name val="Courier"/>
      <family val="3"/>
    </font>
    <font>
      <sz val="11"/>
      <color indexed="9"/>
      <name val="Arial"/>
      <family val="2"/>
    </font>
    <font>
      <sz val="8"/>
      <color indexed="10"/>
      <name val="Tahoma"/>
      <family val="2"/>
    </font>
    <font>
      <b/>
      <sz val="12"/>
      <name val="Courier"/>
      <family val="3"/>
    </font>
    <font>
      <b/>
      <sz val="10"/>
      <color indexed="10"/>
      <name val="Tahoma"/>
      <family val="2"/>
    </font>
    <font>
      <b/>
      <sz val="12"/>
      <color indexed="10"/>
      <name val="Tahoma"/>
      <family val="2"/>
    </font>
    <font>
      <b/>
      <sz val="11"/>
      <color indexed="10"/>
      <name val="Arial Narrow"/>
      <family val="2"/>
    </font>
    <font>
      <sz val="12"/>
      <color indexed="10"/>
      <name val="Courier"/>
      <family val="3"/>
    </font>
    <font>
      <sz val="10"/>
      <name val="Courier"/>
      <family val="3"/>
    </font>
    <font>
      <sz val="14"/>
      <name val="Courier"/>
      <family val="3"/>
    </font>
    <font>
      <sz val="14"/>
      <color indexed="10"/>
      <name val="Arial"/>
      <family val="2"/>
    </font>
    <font>
      <sz val="11"/>
      <name val="Arial"/>
      <family val="2"/>
    </font>
    <font>
      <sz val="11"/>
      <name val="Courier"/>
      <family val="3"/>
    </font>
    <font>
      <sz val="7"/>
      <name val="Times New Roman"/>
      <family val="1"/>
    </font>
    <font>
      <b/>
      <u/>
      <sz val="10"/>
      <name val="Arial"/>
      <family val="2"/>
    </font>
    <font>
      <sz val="12"/>
      <name val="Courier"/>
      <family val="3"/>
    </font>
    <font>
      <sz val="12"/>
      <color rgb="FFFF0000"/>
      <name val="Arial"/>
      <family val="2"/>
    </font>
    <font>
      <b/>
      <i/>
      <sz val="10"/>
      <color rgb="FFFF0000"/>
      <name val="Arial"/>
      <family val="2"/>
    </font>
    <font>
      <sz val="14"/>
      <color rgb="FFFF0000"/>
      <name val="Arial"/>
      <family val="2"/>
    </font>
    <font>
      <b/>
      <sz val="10"/>
      <name val="Courier"/>
      <family val="3"/>
    </font>
    <font>
      <u/>
      <sz val="10"/>
      <name val="Arial"/>
      <family val="2"/>
    </font>
    <font>
      <b/>
      <sz val="11"/>
      <color rgb="FF1F497D"/>
      <name val="Arial"/>
      <family val="2"/>
    </font>
    <font>
      <sz val="11"/>
      <color rgb="FF1F497D"/>
      <name val="Arial"/>
      <family val="2"/>
    </font>
    <font>
      <sz val="9"/>
      <color indexed="81"/>
      <name val="Tahoma"/>
      <family val="2"/>
    </font>
    <font>
      <b/>
      <sz val="12"/>
      <color rgb="FFFF0000"/>
      <name val="Arial"/>
      <family val="2"/>
    </font>
    <font>
      <b/>
      <sz val="10"/>
      <color rgb="FF000000"/>
      <name val="Arial"/>
      <family val="2"/>
    </font>
    <font>
      <b/>
      <sz val="10"/>
      <color rgb="FFFF0000"/>
      <name val="Arial"/>
      <family val="2"/>
    </font>
    <font>
      <u/>
      <sz val="12"/>
      <color rgb="FFFF0000"/>
      <name val="Arial"/>
      <family val="2"/>
    </font>
    <font>
      <b/>
      <sz val="11"/>
      <color rgb="FFFF0000"/>
      <name val="Arial"/>
      <family val="2"/>
    </font>
  </fonts>
  <fills count="15">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lightTrellis"/>
    </fill>
    <fill>
      <patternFill patternType="solid">
        <fgColor indexed="13"/>
        <bgColor indexed="64"/>
      </patternFill>
    </fill>
    <fill>
      <patternFill patternType="solid">
        <fgColor indexed="22"/>
        <bgColor indexed="64"/>
      </patternFill>
    </fill>
    <fill>
      <patternFill patternType="solid">
        <fgColor indexed="43"/>
        <bgColor indexed="9"/>
      </patternFill>
    </fill>
    <fill>
      <patternFill patternType="solid">
        <fgColor indexed="47"/>
        <bgColor indexed="64"/>
      </patternFill>
    </fill>
    <fill>
      <patternFill patternType="solid">
        <fgColor indexed="52"/>
        <bgColor indexed="64"/>
      </patternFill>
    </fill>
    <fill>
      <patternFill patternType="solid">
        <fgColor indexed="41"/>
        <bgColor indexed="64"/>
      </patternFill>
    </fill>
    <fill>
      <patternFill patternType="solid">
        <fgColor theme="0" tint="-4.9989318521683403E-2"/>
        <bgColor indexed="64"/>
      </patternFill>
    </fill>
    <fill>
      <patternFill patternType="solid">
        <fgColor rgb="FFFFFF99"/>
        <bgColor indexed="64"/>
      </patternFill>
    </fill>
  </fills>
  <borders count="233">
    <border>
      <left/>
      <right/>
      <top/>
      <bottom/>
      <diagonal/>
    </border>
    <border>
      <left/>
      <right/>
      <top style="thin">
        <color indexed="64"/>
      </top>
      <bottom style="double">
        <color indexed="64"/>
      </bottom>
      <diagonal/>
    </border>
    <border>
      <left style="double">
        <color indexed="64"/>
      </left>
      <right/>
      <top/>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medium">
        <color indexed="64"/>
      </top>
      <bottom/>
      <diagonal/>
    </border>
    <border>
      <left/>
      <right/>
      <top/>
      <bottom style="thin">
        <color indexed="64"/>
      </bottom>
      <diagonal/>
    </border>
    <border>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bottom/>
      <diagonal/>
    </border>
    <border>
      <left style="double">
        <color indexed="64"/>
      </left>
      <right/>
      <top style="medium">
        <color indexed="64"/>
      </top>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style="thin">
        <color indexed="64"/>
      </right>
      <top style="medium">
        <color indexed="64"/>
      </top>
      <bottom/>
      <diagonal/>
    </border>
    <border>
      <left style="double">
        <color indexed="64"/>
      </left>
      <right style="thin">
        <color indexed="64"/>
      </right>
      <top style="double">
        <color indexed="64"/>
      </top>
      <bottom/>
      <diagonal/>
    </border>
    <border>
      <left style="double">
        <color indexed="64"/>
      </left>
      <right/>
      <top style="dashed">
        <color indexed="64"/>
      </top>
      <bottom/>
      <diagonal/>
    </border>
    <border>
      <left style="double">
        <color indexed="64"/>
      </left>
      <right/>
      <top/>
      <bottom style="dashed">
        <color indexed="64"/>
      </bottom>
      <diagonal/>
    </border>
    <border>
      <left style="thin">
        <color indexed="64"/>
      </left>
      <right/>
      <top style="thin">
        <color indexed="64"/>
      </top>
      <bottom style="thin">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style="double">
        <color indexed="64"/>
      </top>
      <bottom/>
      <diagonal/>
    </border>
    <border>
      <left/>
      <right style="double">
        <color indexed="64"/>
      </right>
      <top/>
      <bottom style="thin">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double">
        <color indexed="64"/>
      </left>
      <right/>
      <top style="double">
        <color indexed="64"/>
      </top>
      <bottom style="dash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thin">
        <color indexed="64"/>
      </top>
      <bottom style="dotted">
        <color indexed="64"/>
      </bottom>
      <diagonal/>
    </border>
    <border>
      <left style="double">
        <color indexed="64"/>
      </left>
      <right/>
      <top style="medium">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thin">
        <color indexed="8"/>
      </left>
      <right/>
      <top/>
      <bottom style="double">
        <color indexed="64"/>
      </bottom>
      <diagonal/>
    </border>
    <border>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double">
        <color indexed="64"/>
      </top>
      <bottom style="thin">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dashed">
        <color indexed="64"/>
      </bottom>
      <diagonal/>
    </border>
    <border>
      <left/>
      <right style="double">
        <color indexed="64"/>
      </right>
      <top/>
      <bottom style="dashed">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thin">
        <color indexed="64"/>
      </right>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style="thin">
        <color indexed="8"/>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thin">
        <color indexed="64"/>
      </left>
      <right style="double">
        <color indexed="64"/>
      </right>
      <top style="medium">
        <color indexed="64"/>
      </top>
      <bottom/>
      <diagonal/>
    </border>
    <border>
      <left style="thin">
        <color indexed="8"/>
      </left>
      <right/>
      <top style="thin">
        <color indexed="64"/>
      </top>
      <bottom style="double">
        <color indexed="64"/>
      </bottom>
      <diagonal/>
    </border>
    <border>
      <left style="thin">
        <color indexed="64"/>
      </left>
      <right style="thin">
        <color indexed="64"/>
      </right>
      <top style="dotted">
        <color indexed="64"/>
      </top>
      <bottom style="medium">
        <color indexed="64"/>
      </bottom>
      <diagonal/>
    </border>
  </borders>
  <cellStyleXfs count="18">
    <xf numFmtId="0" fontId="0" fillId="0" borderId="0"/>
    <xf numFmtId="44"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4" fillId="0" borderId="0"/>
    <xf numFmtId="0" fontId="13" fillId="0" borderId="0"/>
    <xf numFmtId="9" fontId="1" fillId="0" borderId="0" applyFont="0" applyFill="0" applyBorder="0" applyAlignment="0" applyProtection="0"/>
    <xf numFmtId="167" fontId="2" fillId="0" borderId="1">
      <protection locked="0"/>
    </xf>
    <xf numFmtId="0" fontId="125" fillId="0" borderId="0" applyFont="0"/>
  </cellStyleXfs>
  <cellXfs count="2186">
    <xf numFmtId="0" fontId="0" fillId="0" borderId="0" xfId="0"/>
    <xf numFmtId="0" fontId="5" fillId="0" borderId="0" xfId="0" applyFont="1" applyFill="1" applyBorder="1" applyProtection="1"/>
    <xf numFmtId="0" fontId="0" fillId="0" borderId="0" xfId="0" applyBorder="1"/>
    <xf numFmtId="0" fontId="16" fillId="0" borderId="0" xfId="0" applyFont="1"/>
    <xf numFmtId="0" fontId="16" fillId="0" borderId="0" xfId="0" applyFont="1" applyBorder="1" applyAlignment="1" applyProtection="1">
      <alignment horizontal="left" vertical="center"/>
    </xf>
    <xf numFmtId="0" fontId="16"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9" fontId="6" fillId="0" borderId="2" xfId="0" applyNumberFormat="1" applyFont="1" applyFill="1" applyBorder="1" applyAlignment="1" applyProtection="1">
      <alignment vertical="center" wrapText="1"/>
    </xf>
    <xf numFmtId="0" fontId="0" fillId="0" borderId="0" xfId="0" applyAlignment="1">
      <alignment horizontal="left" vertical="center"/>
    </xf>
    <xf numFmtId="0" fontId="4" fillId="0" borderId="0"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170" fontId="5" fillId="0" borderId="4"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7"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Border="1" applyAlignment="1" applyProtection="1">
      <alignment vertical="center"/>
    </xf>
    <xf numFmtId="0" fontId="7" fillId="0" borderId="0" xfId="0" applyFont="1" applyBorder="1" applyAlignment="1" applyProtection="1">
      <alignment vertical="center"/>
    </xf>
    <xf numFmtId="0" fontId="16" fillId="0" borderId="0" xfId="0" applyFont="1" applyFill="1" applyBorder="1" applyAlignment="1" applyProtection="1">
      <alignment horizontal="right" vertical="center"/>
    </xf>
    <xf numFmtId="170" fontId="4" fillId="0" borderId="0" xfId="0" applyNumberFormat="1" applyFont="1" applyFill="1" applyBorder="1" applyAlignment="1" applyProtection="1">
      <alignment vertical="center"/>
    </xf>
    <xf numFmtId="0" fontId="29" fillId="0" borderId="6" xfId="0" applyFont="1" applyBorder="1" applyAlignment="1" applyProtection="1">
      <alignment vertical="center"/>
    </xf>
    <xf numFmtId="0" fontId="0" fillId="0" borderId="0" xfId="0" applyBorder="1" applyAlignment="1">
      <alignment vertical="center"/>
    </xf>
    <xf numFmtId="0" fontId="6" fillId="0" borderId="6" xfId="0" applyFont="1" applyFill="1" applyBorder="1" applyAlignment="1" applyProtection="1">
      <alignment vertical="center"/>
    </xf>
    <xf numFmtId="0" fontId="14" fillId="0" borderId="0" xfId="0" applyFont="1" applyBorder="1" applyAlignment="1" applyProtection="1">
      <alignment vertical="center"/>
    </xf>
    <xf numFmtId="0" fontId="17" fillId="0" borderId="2" xfId="0" applyFont="1" applyBorder="1" applyAlignment="1" applyProtection="1">
      <alignment vertical="center"/>
    </xf>
    <xf numFmtId="0" fontId="16" fillId="0" borderId="6" xfId="0" applyFont="1" applyBorder="1" applyAlignment="1" applyProtection="1">
      <alignment vertical="center"/>
    </xf>
    <xf numFmtId="0" fontId="14" fillId="0" borderId="6" xfId="0" applyFont="1" applyBorder="1" applyAlignment="1" applyProtection="1">
      <alignment vertical="center"/>
    </xf>
    <xf numFmtId="0" fontId="49" fillId="0" borderId="8"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0" fontId="4" fillId="0" borderId="0" xfId="15"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7" fillId="0" borderId="11"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0" fontId="4" fillId="0" borderId="0" xfId="0" applyNumberFormat="1" applyFont="1" applyBorder="1" applyAlignment="1" applyProtection="1">
      <alignment vertical="center"/>
    </xf>
    <xf numFmtId="170" fontId="38" fillId="0" borderId="0" xfId="0" applyNumberFormat="1" applyFont="1" applyFill="1" applyBorder="1" applyAlignment="1" applyProtection="1">
      <alignment vertical="center"/>
    </xf>
    <xf numFmtId="172"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0" fontId="38" fillId="0" borderId="0" xfId="0" applyNumberFormat="1" applyFont="1" applyFill="1" applyBorder="1" applyAlignment="1" applyProtection="1">
      <alignment horizontal="center" vertical="center"/>
    </xf>
    <xf numFmtId="10" fontId="7" fillId="0" borderId="0" xfId="15" applyNumberFormat="1" applyFont="1" applyFill="1" applyBorder="1" applyAlignment="1" applyProtection="1">
      <alignment vertical="center"/>
    </xf>
    <xf numFmtId="9" fontId="4" fillId="0" borderId="7" xfId="0" applyNumberFormat="1" applyFont="1" applyFill="1" applyBorder="1" applyAlignment="1" applyProtection="1">
      <alignment vertical="center"/>
    </xf>
    <xf numFmtId="0" fontId="4" fillId="0" borderId="6" xfId="0" applyFont="1" applyBorder="1" applyAlignment="1" applyProtection="1">
      <alignment vertical="center"/>
    </xf>
    <xf numFmtId="0" fontId="4" fillId="0" borderId="6" xfId="0" applyFont="1" applyFill="1" applyBorder="1" applyAlignment="1" applyProtection="1">
      <alignment vertical="center"/>
    </xf>
    <xf numFmtId="0" fontId="4" fillId="0" borderId="6" xfId="0" applyFont="1" applyBorder="1" applyAlignment="1" applyProtection="1">
      <alignment horizontal="center" vertical="center"/>
    </xf>
    <xf numFmtId="170" fontId="4" fillId="0" borderId="6" xfId="0" applyNumberFormat="1" applyFont="1" applyBorder="1" applyAlignment="1" applyProtection="1">
      <alignment vertical="center"/>
    </xf>
    <xf numFmtId="170" fontId="4" fillId="0" borderId="6" xfId="0" applyNumberFormat="1" applyFont="1" applyFill="1" applyBorder="1" applyAlignment="1" applyProtection="1">
      <alignment vertical="center"/>
    </xf>
    <xf numFmtId="172" fontId="4" fillId="0" borderId="6" xfId="15" applyNumberFormat="1" applyFont="1" applyFill="1" applyBorder="1" applyAlignment="1" applyProtection="1">
      <alignment vertical="center"/>
    </xf>
    <xf numFmtId="170" fontId="4" fillId="0" borderId="6" xfId="0" applyNumberFormat="1" applyFont="1" applyFill="1" applyBorder="1" applyAlignment="1" applyProtection="1">
      <alignment horizontal="center" vertical="center"/>
    </xf>
    <xf numFmtId="170" fontId="4" fillId="0" borderId="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2" fontId="5" fillId="0" borderId="0" xfId="15" applyNumberFormat="1" applyFont="1" applyFill="1" applyBorder="1" applyAlignment="1" applyProtection="1">
      <alignment vertical="center"/>
    </xf>
    <xf numFmtId="9" fontId="5" fillId="0" borderId="7" xfId="0" applyNumberFormat="1" applyFont="1" applyFill="1" applyBorder="1" applyAlignment="1" applyProtection="1">
      <alignment vertical="center"/>
    </xf>
    <xf numFmtId="0" fontId="7" fillId="0" borderId="6" xfId="0" applyFont="1" applyBorder="1" applyAlignment="1" applyProtection="1">
      <alignment vertical="center"/>
    </xf>
    <xf numFmtId="2" fontId="5" fillId="0" borderId="6" xfId="0" applyNumberFormat="1" applyFont="1" applyFill="1" applyBorder="1" applyAlignment="1" applyProtection="1">
      <alignment vertical="center"/>
    </xf>
    <xf numFmtId="0" fontId="5" fillId="0" borderId="6" xfId="0" applyFont="1" applyFill="1" applyBorder="1" applyAlignment="1" applyProtection="1">
      <alignment horizontal="center" vertical="center"/>
    </xf>
    <xf numFmtId="9" fontId="5" fillId="0" borderId="6" xfId="15" applyFont="1" applyFill="1" applyBorder="1" applyAlignment="1" applyProtection="1">
      <alignment vertical="center"/>
    </xf>
    <xf numFmtId="170" fontId="5" fillId="0" borderId="6" xfId="0" applyNumberFormat="1" applyFont="1" applyFill="1" applyBorder="1" applyAlignment="1" applyProtection="1">
      <alignment vertical="center"/>
    </xf>
    <xf numFmtId="170" fontId="5" fillId="0" borderId="6" xfId="0" applyNumberFormat="1" applyFont="1" applyFill="1" applyBorder="1" applyAlignment="1" applyProtection="1">
      <alignment horizontal="center" vertical="center"/>
    </xf>
    <xf numFmtId="170" fontId="4" fillId="0" borderId="12" xfId="0" applyNumberFormat="1" applyFont="1" applyFill="1" applyBorder="1" applyAlignment="1" applyProtection="1">
      <alignment vertical="center"/>
    </xf>
    <xf numFmtId="170" fontId="5" fillId="0" borderId="4" xfId="0" applyNumberFormat="1" applyFont="1" applyFill="1" applyBorder="1" applyAlignment="1" applyProtection="1">
      <alignment horizontal="center" vertical="center"/>
    </xf>
    <xf numFmtId="170" fontId="4" fillId="0" borderId="4" xfId="0" applyNumberFormat="1" applyFont="1" applyFill="1" applyBorder="1" applyAlignment="1" applyProtection="1">
      <alignment horizontal="left" vertical="center"/>
    </xf>
    <xf numFmtId="0" fontId="5" fillId="0" borderId="9" xfId="0" applyFont="1" applyFill="1" applyBorder="1" applyAlignment="1" applyProtection="1">
      <alignment vertical="center"/>
    </xf>
    <xf numFmtId="0" fontId="49" fillId="0" borderId="2" xfId="0" applyFont="1" applyFill="1" applyBorder="1" applyAlignment="1" applyProtection="1">
      <alignment vertical="center"/>
    </xf>
    <xf numFmtId="169" fontId="5" fillId="0" borderId="0" xfId="0" applyNumberFormat="1" applyFont="1" applyFill="1" applyBorder="1" applyAlignment="1" applyProtection="1">
      <alignment vertical="center"/>
    </xf>
    <xf numFmtId="0" fontId="5" fillId="0" borderId="4" xfId="0" applyFont="1" applyFill="1" applyBorder="1" applyAlignment="1" applyProtection="1">
      <alignment horizontal="center" vertical="center"/>
    </xf>
    <xf numFmtId="0" fontId="4" fillId="0" borderId="4" xfId="0" applyFont="1" applyBorder="1" applyAlignment="1" applyProtection="1">
      <alignment vertical="center"/>
    </xf>
    <xf numFmtId="9" fontId="5" fillId="0" borderId="4" xfId="15" applyFont="1" applyFill="1" applyBorder="1" applyAlignment="1" applyProtection="1">
      <alignment vertical="center"/>
    </xf>
    <xf numFmtId="170" fontId="4" fillId="0" borderId="4" xfId="0" applyNumberFormat="1" applyFont="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0" fontId="6"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164" fontId="5" fillId="0" borderId="0" xfId="0" applyNumberFormat="1" applyFont="1" applyFill="1" applyBorder="1" applyAlignment="1" applyProtection="1">
      <alignment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165" fontId="5" fillId="0" borderId="9"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4" fillId="0" borderId="13" xfId="0" applyFont="1" applyBorder="1" applyAlignment="1" applyProtection="1">
      <alignment vertical="center"/>
    </xf>
    <xf numFmtId="0" fontId="5" fillId="0" borderId="13" xfId="0" applyFont="1" applyFill="1" applyBorder="1" applyAlignment="1" applyProtection="1">
      <alignment horizontal="left" vertical="center"/>
    </xf>
    <xf numFmtId="0" fontId="5" fillId="0" borderId="1" xfId="0" applyFont="1" applyFill="1" applyBorder="1" applyAlignment="1" applyProtection="1">
      <alignment vertical="center"/>
    </xf>
    <xf numFmtId="0" fontId="4" fillId="0" borderId="11" xfId="0" applyFont="1" applyBorder="1" applyAlignment="1" applyProtection="1">
      <alignment vertical="center"/>
    </xf>
    <xf numFmtId="0" fontId="4" fillId="0" borderId="14" xfId="0" applyFont="1" applyBorder="1" applyAlignment="1" applyProtection="1">
      <alignment vertical="center"/>
    </xf>
    <xf numFmtId="49" fontId="4" fillId="0" borderId="0" xfId="0" applyNumberFormat="1" applyFont="1" applyBorder="1" applyAlignment="1" applyProtection="1">
      <alignment vertical="center"/>
    </xf>
    <xf numFmtId="0" fontId="4" fillId="0" borderId="7" xfId="0" applyFont="1" applyBorder="1" applyAlignment="1" applyProtection="1">
      <alignment vertical="center"/>
    </xf>
    <xf numFmtId="0" fontId="4" fillId="0" borderId="2" xfId="0" applyFont="1" applyBorder="1" applyAlignment="1" applyProtection="1">
      <alignment horizontal="center" vertical="center"/>
    </xf>
    <xf numFmtId="1" fontId="29" fillId="0" borderId="0" xfId="0" applyNumberFormat="1" applyFont="1" applyBorder="1" applyAlignment="1" applyProtection="1">
      <alignment horizontal="center" vertical="center"/>
    </xf>
    <xf numFmtId="0" fontId="29" fillId="0" borderId="0" xfId="0" applyFont="1" applyBorder="1" applyAlignment="1" applyProtection="1">
      <alignment vertical="center"/>
    </xf>
    <xf numFmtId="0" fontId="29" fillId="0" borderId="11" xfId="0" applyFont="1" applyBorder="1" applyAlignment="1" applyProtection="1">
      <alignment vertical="center"/>
    </xf>
    <xf numFmtId="0" fontId="7" fillId="0" borderId="7" xfId="0" applyFont="1" applyBorder="1" applyAlignment="1" applyProtection="1">
      <alignment vertical="center"/>
    </xf>
    <xf numFmtId="0" fontId="39" fillId="0" borderId="6" xfId="0" applyFont="1" applyBorder="1" applyAlignment="1" applyProtection="1">
      <alignment vertical="center"/>
    </xf>
    <xf numFmtId="1" fontId="29" fillId="0" borderId="6" xfId="0" applyNumberFormat="1" applyFont="1" applyBorder="1" applyAlignment="1" applyProtection="1">
      <alignment horizontal="left" vertical="center"/>
    </xf>
    <xf numFmtId="0" fontId="7" fillId="0" borderId="6" xfId="0" applyFont="1" applyFill="1" applyBorder="1" applyAlignment="1" applyProtection="1">
      <alignment horizontal="left" vertical="center"/>
    </xf>
    <xf numFmtId="0" fontId="29" fillId="0" borderId="6" xfId="0" applyFont="1" applyBorder="1" applyAlignment="1" applyProtection="1">
      <alignment horizontal="left" vertical="center"/>
    </xf>
    <xf numFmtId="9" fontId="45" fillId="0" borderId="2" xfId="0" applyNumberFormat="1" applyFont="1" applyFill="1" applyBorder="1" applyAlignment="1" applyProtection="1">
      <alignment vertical="center"/>
    </xf>
    <xf numFmtId="170" fontId="4" fillId="0" borderId="0" xfId="0" applyNumberFormat="1" applyFont="1" applyBorder="1" applyAlignment="1" applyProtection="1">
      <alignment horizontal="center" vertical="center"/>
    </xf>
    <xf numFmtId="0" fontId="45" fillId="0" borderId="2" xfId="0" applyFont="1" applyFill="1" applyBorder="1" applyAlignment="1" applyProtection="1">
      <alignment vertical="center"/>
    </xf>
    <xf numFmtId="9" fontId="5" fillId="0" borderId="3" xfId="0" applyNumberFormat="1" applyFont="1" applyFill="1" applyBorder="1" applyAlignment="1" applyProtection="1">
      <alignment vertical="center"/>
    </xf>
    <xf numFmtId="0" fontId="14" fillId="0" borderId="0" xfId="0" applyFont="1" applyBorder="1" applyAlignment="1">
      <alignment vertical="center"/>
    </xf>
    <xf numFmtId="0" fontId="50" fillId="0" borderId="0" xfId="0" applyFont="1" applyAlignment="1">
      <alignment vertical="center" wrapText="1"/>
    </xf>
    <xf numFmtId="0" fontId="14" fillId="0" borderId="9" xfId="0" applyFont="1" applyBorder="1" applyAlignment="1">
      <alignment vertical="center"/>
    </xf>
    <xf numFmtId="0" fontId="14" fillId="0" borderId="10" xfId="0" applyFont="1" applyBorder="1" applyAlignment="1">
      <alignment vertical="center"/>
    </xf>
    <xf numFmtId="0" fontId="14" fillId="0" borderId="2" xfId="0" applyFont="1" applyBorder="1" applyAlignment="1">
      <alignment vertical="center"/>
    </xf>
    <xf numFmtId="0" fontId="14" fillId="0" borderId="0" xfId="0" applyFont="1" applyAlignment="1">
      <alignment vertical="center"/>
    </xf>
    <xf numFmtId="0" fontId="14" fillId="0" borderId="11" xfId="0" applyFont="1" applyBorder="1" applyAlignment="1">
      <alignment vertical="center"/>
    </xf>
    <xf numFmtId="0" fontId="38" fillId="0" borderId="0" xfId="0" applyFont="1" applyBorder="1" applyAlignment="1" applyProtection="1">
      <alignment vertical="center"/>
    </xf>
    <xf numFmtId="2" fontId="4" fillId="0" borderId="0" xfId="0" applyNumberFormat="1" applyFont="1" applyFill="1" applyBorder="1" applyAlignment="1" applyProtection="1">
      <alignment horizontal="center" vertical="center"/>
    </xf>
    <xf numFmtId="2" fontId="5" fillId="0" borderId="4" xfId="0" applyNumberFormat="1" applyFont="1" applyFill="1" applyBorder="1" applyAlignment="1" applyProtection="1">
      <alignment vertical="center"/>
    </xf>
    <xf numFmtId="0" fontId="4" fillId="0" borderId="4" xfId="0" applyFont="1" applyFill="1" applyBorder="1" applyAlignment="1" applyProtection="1">
      <alignment horizontal="center" vertical="center"/>
    </xf>
    <xf numFmtId="170" fontId="6" fillId="0" borderId="0" xfId="0" applyNumberFormat="1" applyFont="1" applyFill="1" applyBorder="1" applyAlignment="1" applyProtection="1">
      <alignment horizontal="right" vertical="center"/>
    </xf>
    <xf numFmtId="0" fontId="4" fillId="0" borderId="2"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4" fillId="0" borderId="6" xfId="0" applyFont="1" applyBorder="1" applyAlignment="1">
      <alignment vertical="center"/>
    </xf>
    <xf numFmtId="0" fontId="16" fillId="2" borderId="10" xfId="0" applyFont="1" applyFill="1" applyBorder="1" applyAlignment="1" applyProtection="1">
      <alignment vertical="center"/>
    </xf>
    <xf numFmtId="0" fontId="16" fillId="2" borderId="6" xfId="0" applyFont="1" applyFill="1" applyBorder="1" applyAlignment="1" applyProtection="1">
      <alignment vertical="center"/>
    </xf>
    <xf numFmtId="0" fontId="25" fillId="0" borderId="0" xfId="0" applyFont="1" applyBorder="1" applyAlignment="1" applyProtection="1">
      <alignment vertical="center"/>
    </xf>
    <xf numFmtId="0" fontId="6" fillId="0" borderId="0" xfId="0" applyFont="1" applyFill="1" applyBorder="1" applyAlignment="1" applyProtection="1">
      <alignment horizontal="right" vertical="center"/>
    </xf>
    <xf numFmtId="0" fontId="47" fillId="0" borderId="0" xfId="0" applyFont="1" applyBorder="1" applyAlignment="1" applyProtection="1">
      <alignment vertical="center"/>
    </xf>
    <xf numFmtId="9" fontId="49" fillId="0" borderId="2" xfId="0" applyNumberFormat="1" applyFont="1" applyFill="1" applyBorder="1" applyAlignment="1" applyProtection="1">
      <alignment vertical="center"/>
    </xf>
    <xf numFmtId="0" fontId="14" fillId="0" borderId="0" xfId="0" applyFont="1"/>
    <xf numFmtId="49" fontId="14" fillId="0" borderId="0" xfId="0" applyNumberFormat="1" applyFont="1"/>
    <xf numFmtId="0" fontId="19" fillId="0" borderId="0" xfId="0" applyFont="1" applyFill="1" applyBorder="1" applyAlignment="1" applyProtection="1">
      <alignment horizontal="center" vertical="center"/>
    </xf>
    <xf numFmtId="0" fontId="19" fillId="0" borderId="0" xfId="0" applyFont="1" applyBorder="1" applyAlignment="1" applyProtection="1">
      <alignment vertical="center"/>
    </xf>
    <xf numFmtId="9" fontId="19" fillId="0" borderId="0" xfId="15" applyFont="1" applyFill="1" applyBorder="1" applyAlignment="1" applyProtection="1">
      <alignment vertical="center"/>
    </xf>
    <xf numFmtId="0" fontId="19" fillId="0" borderId="0" xfId="0" applyFont="1" applyFill="1" applyBorder="1" applyAlignment="1" applyProtection="1">
      <alignment vertical="center"/>
    </xf>
    <xf numFmtId="170" fontId="19" fillId="0" borderId="0" xfId="0" applyNumberFormat="1" applyFont="1" applyBorder="1" applyAlignment="1" applyProtection="1">
      <alignment vertical="center"/>
    </xf>
    <xf numFmtId="170" fontId="19" fillId="0" borderId="0" xfId="0" applyNumberFormat="1" applyFont="1" applyFill="1" applyBorder="1" applyAlignment="1" applyProtection="1">
      <alignment horizontal="center" vertical="center"/>
    </xf>
    <xf numFmtId="170" fontId="19" fillId="0" borderId="0" xfId="0" applyNumberFormat="1" applyFont="1" applyFill="1" applyBorder="1" applyAlignment="1" applyProtection="1">
      <alignment vertical="center"/>
    </xf>
    <xf numFmtId="165" fontId="6" fillId="0" borderId="0" xfId="0" applyNumberFormat="1" applyFont="1" applyFill="1" applyBorder="1" applyAlignment="1" applyProtection="1">
      <alignment vertical="center"/>
    </xf>
    <xf numFmtId="0" fontId="14" fillId="0" borderId="0" xfId="0" applyFont="1" applyBorder="1" applyAlignment="1" applyProtection="1">
      <alignment horizontal="right" vertical="center"/>
    </xf>
    <xf numFmtId="170" fontId="14" fillId="0" borderId="11" xfId="0" applyNumberFormat="1" applyFont="1" applyBorder="1" applyAlignment="1">
      <alignment vertical="center"/>
    </xf>
    <xf numFmtId="0" fontId="14" fillId="0" borderId="0" xfId="0" applyFont="1" applyBorder="1" applyAlignment="1">
      <alignment horizontal="center" vertical="center"/>
    </xf>
    <xf numFmtId="0" fontId="14" fillId="0" borderId="8" xfId="0" applyFont="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49" fontId="38" fillId="0" borderId="0" xfId="0" applyNumberFormat="1" applyFont="1" applyBorder="1" applyAlignment="1" applyProtection="1">
      <alignment horizontal="center" vertical="center"/>
    </xf>
    <xf numFmtId="0" fontId="25" fillId="3" borderId="15" xfId="0" applyFont="1" applyFill="1" applyBorder="1" applyAlignment="1" applyProtection="1">
      <alignment horizontal="center" vertical="center"/>
      <protection locked="0"/>
    </xf>
    <xf numFmtId="9" fontId="4" fillId="0" borderId="4" xfId="0" applyNumberFormat="1" applyFont="1" applyFill="1" applyBorder="1" applyAlignment="1" applyProtection="1">
      <alignment vertical="center"/>
    </xf>
    <xf numFmtId="0" fontId="4" fillId="0" borderId="4" xfId="0" applyFont="1" applyFill="1" applyBorder="1" applyAlignment="1" applyProtection="1">
      <alignment horizontal="left" vertical="center"/>
    </xf>
    <xf numFmtId="170" fontId="5" fillId="0" borderId="4" xfId="0" applyNumberFormat="1" applyFont="1" applyFill="1" applyBorder="1" applyAlignment="1" applyProtection="1">
      <alignment horizontal="left" vertical="center"/>
    </xf>
    <xf numFmtId="0" fontId="17" fillId="0" borderId="16"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6" fillId="0" borderId="2" xfId="0" applyFont="1" applyBorder="1" applyAlignment="1">
      <alignment vertical="center"/>
    </xf>
    <xf numFmtId="0" fontId="16" fillId="0" borderId="0" xfId="0" applyFont="1" applyBorder="1" applyAlignment="1">
      <alignment vertical="center"/>
    </xf>
    <xf numFmtId="0" fontId="16" fillId="0" borderId="11"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3" borderId="19" xfId="0" applyNumberFormat="1" applyFont="1" applyFill="1" applyBorder="1" applyAlignment="1" applyProtection="1">
      <alignment vertical="center"/>
      <protection locked="0"/>
    </xf>
    <xf numFmtId="0" fontId="16" fillId="3" borderId="19" xfId="0" applyFont="1" applyFill="1" applyBorder="1" applyAlignment="1" applyProtection="1">
      <alignment vertical="center"/>
      <protection locked="0"/>
    </xf>
    <xf numFmtId="0" fontId="16" fillId="0" borderId="7" xfId="0" applyFont="1" applyBorder="1" applyAlignment="1">
      <alignment vertical="center"/>
    </xf>
    <xf numFmtId="0" fontId="16" fillId="0" borderId="6" xfId="0" applyFont="1" applyBorder="1" applyAlignment="1">
      <alignment vertical="center"/>
    </xf>
    <xf numFmtId="0" fontId="16" fillId="0" borderId="14" xfId="0" applyFont="1" applyBorder="1" applyAlignment="1">
      <alignment vertical="center"/>
    </xf>
    <xf numFmtId="0" fontId="17" fillId="0" borderId="20" xfId="0" applyFont="1" applyBorder="1" applyAlignment="1">
      <alignment vertical="center"/>
    </xf>
    <xf numFmtId="0" fontId="16" fillId="0" borderId="21" xfId="0" applyFont="1" applyBorder="1" applyAlignment="1">
      <alignment vertical="center"/>
    </xf>
    <xf numFmtId="14" fontId="20" fillId="3" borderId="22" xfId="0" applyNumberFormat="1" applyFont="1" applyFill="1" applyBorder="1" applyAlignment="1" applyProtection="1">
      <alignment vertical="center"/>
      <protection locked="0"/>
    </xf>
    <xf numFmtId="0" fontId="20" fillId="3" borderId="23" xfId="0" applyFont="1" applyFill="1" applyBorder="1" applyAlignment="1" applyProtection="1">
      <alignment vertical="center"/>
      <protection locked="0"/>
    </xf>
    <xf numFmtId="0" fontId="20" fillId="3" borderId="24" xfId="0" applyFont="1" applyFill="1" applyBorder="1" applyAlignment="1" applyProtection="1">
      <alignment vertical="center"/>
      <protection locked="0"/>
    </xf>
    <xf numFmtId="14" fontId="20" fillId="3" borderId="25" xfId="0" applyNumberFormat="1"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29" xfId="0" applyFont="1" applyFill="1" applyBorder="1" applyAlignment="1" applyProtection="1">
      <alignment vertical="center"/>
      <protection locked="0"/>
    </xf>
    <xf numFmtId="0" fontId="20" fillId="3" borderId="30" xfId="0" applyFont="1" applyFill="1" applyBorder="1" applyAlignment="1" applyProtection="1">
      <alignment vertical="center"/>
      <protection locked="0"/>
    </xf>
    <xf numFmtId="0" fontId="17" fillId="0" borderId="31" xfId="0" applyFont="1" applyBorder="1" applyAlignment="1">
      <alignment horizontal="right" vertical="center"/>
    </xf>
    <xf numFmtId="0" fontId="17" fillId="0" borderId="32" xfId="0" applyFont="1" applyBorder="1" applyAlignment="1">
      <alignment horizontal="right" vertical="center"/>
    </xf>
    <xf numFmtId="0" fontId="17" fillId="0" borderId="34" xfId="0" applyFont="1" applyBorder="1" applyAlignment="1">
      <alignment horizontal="right" vertical="center"/>
    </xf>
    <xf numFmtId="0" fontId="17" fillId="0" borderId="13" xfId="0" applyFont="1" applyBorder="1" applyAlignment="1">
      <alignment horizontal="right" vertical="center"/>
    </xf>
    <xf numFmtId="0" fontId="14" fillId="0" borderId="7" xfId="0" applyFont="1" applyBorder="1" applyAlignment="1">
      <alignment vertical="center"/>
    </xf>
    <xf numFmtId="0" fontId="14" fillId="0" borderId="14" xfId="0" applyFont="1" applyBorder="1" applyAlignment="1">
      <alignment vertical="center"/>
    </xf>
    <xf numFmtId="0" fontId="17" fillId="0" borderId="6" xfId="0" applyFont="1" applyBorder="1" applyAlignment="1">
      <alignment horizontal="right" vertical="center"/>
    </xf>
    <xf numFmtId="0" fontId="18" fillId="0" borderId="9" xfId="0" applyFont="1" applyBorder="1" applyAlignment="1">
      <alignment horizontal="center" vertical="center"/>
    </xf>
    <xf numFmtId="0" fontId="67" fillId="0" borderId="9" xfId="0" applyFont="1" applyBorder="1" applyAlignment="1" applyProtection="1">
      <alignment horizontal="left" vertical="center"/>
    </xf>
    <xf numFmtId="0" fontId="18" fillId="0" borderId="10" xfId="0" applyFont="1" applyBorder="1" applyAlignment="1">
      <alignment horizontal="center" vertical="center"/>
    </xf>
    <xf numFmtId="1" fontId="50" fillId="0" borderId="0" xfId="0" applyNumberFormat="1" applyFont="1" applyBorder="1" applyAlignment="1">
      <alignment horizontal="right" vertical="center"/>
    </xf>
    <xf numFmtId="1" fontId="14" fillId="0" borderId="0" xfId="0" applyNumberFormat="1" applyFont="1" applyBorder="1" applyAlignment="1">
      <alignment horizontal="left" vertical="center"/>
    </xf>
    <xf numFmtId="0" fontId="18" fillId="0" borderId="2" xfId="0" applyFont="1" applyBorder="1" applyAlignment="1">
      <alignment vertical="center"/>
    </xf>
    <xf numFmtId="0" fontId="18" fillId="0" borderId="0" xfId="0" applyFont="1" applyBorder="1" applyAlignment="1">
      <alignment vertical="center"/>
    </xf>
    <xf numFmtId="0" fontId="14" fillId="0" borderId="0" xfId="0" applyFont="1" applyFill="1" applyBorder="1" applyAlignment="1">
      <alignment vertical="center"/>
    </xf>
    <xf numFmtId="49" fontId="14" fillId="0" borderId="11" xfId="0" applyNumberFormat="1" applyFont="1" applyBorder="1" applyAlignment="1" applyProtection="1">
      <alignment vertical="center"/>
      <protection locked="0"/>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49" fontId="7" fillId="0" borderId="28" xfId="0" applyNumberFormat="1" applyFont="1" applyFill="1" applyBorder="1" applyAlignment="1" applyProtection="1">
      <alignment horizontal="center" vertical="center"/>
    </xf>
    <xf numFmtId="49" fontId="7" fillId="0" borderId="37" xfId="0" applyNumberFormat="1" applyFont="1" applyFill="1" applyBorder="1" applyAlignment="1" applyProtection="1">
      <alignment horizontal="center" vertical="center" wrapText="1"/>
    </xf>
    <xf numFmtId="49" fontId="7" fillId="0" borderId="38" xfId="0" applyNumberFormat="1" applyFont="1" applyBorder="1" applyAlignment="1" applyProtection="1">
      <alignment horizontal="center" vertical="center"/>
    </xf>
    <xf numFmtId="49" fontId="7" fillId="0" borderId="28" xfId="0" applyNumberFormat="1" applyFont="1" applyBorder="1" applyAlignment="1" applyProtection="1">
      <alignment horizontal="center" vertical="center"/>
    </xf>
    <xf numFmtId="0" fontId="14" fillId="0" borderId="39" xfId="0" applyFont="1" applyBorder="1" applyAlignment="1" applyProtection="1">
      <alignment vertical="center"/>
    </xf>
    <xf numFmtId="49" fontId="7" fillId="0" borderId="35" xfId="0" applyNumberFormat="1" applyFont="1" applyBorder="1" applyAlignment="1" applyProtection="1">
      <alignment vertical="center"/>
    </xf>
    <xf numFmtId="0" fontId="68" fillId="0" borderId="19" xfId="0" applyNumberFormat="1" applyFont="1" applyFill="1" applyBorder="1" applyAlignment="1" applyProtection="1">
      <alignment horizontal="center" vertical="center"/>
    </xf>
    <xf numFmtId="170" fontId="0" fillId="0" borderId="0" xfId="0" applyNumberFormat="1"/>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4" fillId="0" borderId="32" xfId="0" applyFont="1" applyBorder="1" applyAlignment="1">
      <alignment vertical="center"/>
    </xf>
    <xf numFmtId="0" fontId="14" fillId="0" borderId="40" xfId="0" applyFont="1" applyBorder="1" applyAlignment="1">
      <alignment vertical="center"/>
    </xf>
    <xf numFmtId="0" fontId="14" fillId="0" borderId="19" xfId="0" applyFont="1" applyBorder="1" applyAlignment="1">
      <alignment vertical="center" wrapText="1"/>
    </xf>
    <xf numFmtId="0" fontId="14" fillId="0" borderId="21" xfId="0" applyFont="1" applyBorder="1" applyAlignment="1">
      <alignment vertical="center"/>
    </xf>
    <xf numFmtId="0" fontId="7" fillId="0" borderId="2" xfId="0" applyFont="1" applyBorder="1" applyAlignment="1">
      <alignment horizontal="right" vertical="center"/>
    </xf>
    <xf numFmtId="0" fontId="14" fillId="0" borderId="0" xfId="0" applyFont="1" applyBorder="1" applyAlignment="1">
      <alignment horizontal="right" vertical="center"/>
    </xf>
    <xf numFmtId="0" fontId="14" fillId="0" borderId="41" xfId="0" applyFont="1" applyBorder="1" applyAlignment="1">
      <alignment horizontal="right" vertical="center"/>
    </xf>
    <xf numFmtId="0" fontId="14" fillId="0" borderId="41" xfId="0" applyFont="1" applyBorder="1" applyAlignment="1">
      <alignment vertical="center"/>
    </xf>
    <xf numFmtId="0" fontId="7" fillId="0" borderId="0" xfId="0" applyFont="1" applyBorder="1" applyAlignment="1">
      <alignment horizontal="right" vertical="center"/>
    </xf>
    <xf numFmtId="0" fontId="17" fillId="0" borderId="31" xfId="0" applyFont="1" applyBorder="1" applyAlignment="1">
      <alignmen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7" xfId="0" applyFont="1" applyBorder="1" applyAlignment="1">
      <alignment horizontal="right" vertical="center"/>
    </xf>
    <xf numFmtId="0" fontId="14" fillId="0" borderId="11" xfId="0" applyFont="1" applyBorder="1" applyAlignment="1">
      <alignment horizontal="center" vertical="center"/>
    </xf>
    <xf numFmtId="0" fontId="14" fillId="0" borderId="2" xfId="0" applyFont="1" applyBorder="1" applyAlignment="1">
      <alignment horizontal="right" vertical="center"/>
    </xf>
    <xf numFmtId="0" fontId="14" fillId="0" borderId="45" xfId="0" applyFont="1" applyBorder="1" applyAlignment="1">
      <alignment vertical="center"/>
    </xf>
    <xf numFmtId="0" fontId="19" fillId="3" borderId="41"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0" fontId="19" fillId="3" borderId="24" xfId="0" applyFont="1" applyFill="1" applyBorder="1" applyAlignment="1" applyProtection="1">
      <alignment vertical="center"/>
      <protection locked="0"/>
    </xf>
    <xf numFmtId="0" fontId="17" fillId="0" borderId="20" xfId="0" applyFont="1" applyBorder="1" applyAlignment="1">
      <alignment horizontal="left" vertical="center"/>
    </xf>
    <xf numFmtId="0" fontId="14" fillId="0" borderId="21" xfId="0" applyFont="1" applyBorder="1" applyAlignment="1">
      <alignment horizontal="left" vertical="center"/>
    </xf>
    <xf numFmtId="14" fontId="19" fillId="3" borderId="22" xfId="0" applyNumberFormat="1" applyFont="1" applyFill="1" applyBorder="1" applyAlignment="1" applyProtection="1">
      <alignment vertical="center"/>
      <protection locked="0"/>
    </xf>
    <xf numFmtId="0" fontId="19" fillId="3" borderId="25" xfId="0" applyFont="1" applyFill="1" applyBorder="1" applyAlignment="1" applyProtection="1">
      <alignment vertical="center"/>
      <protection locked="0"/>
    </xf>
    <xf numFmtId="0" fontId="67" fillId="0" borderId="2" xfId="0" applyFont="1" applyBorder="1" applyAlignment="1" applyProtection="1">
      <alignment horizontal="left" vertical="center"/>
    </xf>
    <xf numFmtId="1" fontId="14" fillId="0" borderId="6" xfId="0" applyNumberFormat="1" applyFont="1" applyBorder="1" applyAlignment="1">
      <alignment horizontal="left" vertical="center"/>
    </xf>
    <xf numFmtId="0" fontId="19" fillId="3" borderId="47"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7" fillId="0" borderId="33" xfId="0" applyFont="1" applyBorder="1" applyAlignment="1">
      <alignment horizontal="right" vertical="center"/>
    </xf>
    <xf numFmtId="0" fontId="5" fillId="3" borderId="33" xfId="0" applyFont="1" applyFill="1" applyBorder="1" applyAlignment="1" applyProtection="1">
      <alignment vertical="center"/>
    </xf>
    <xf numFmtId="0" fontId="5" fillId="3" borderId="46" xfId="0" applyFont="1" applyFill="1" applyBorder="1" applyAlignment="1" applyProtection="1">
      <alignment vertical="center"/>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9" fillId="0" borderId="0" xfId="0" applyFont="1" applyBorder="1" applyAlignment="1" applyProtection="1">
      <alignment vertical="center"/>
      <protection locked="0"/>
    </xf>
    <xf numFmtId="14" fontId="19" fillId="3" borderId="48" xfId="0" applyNumberFormat="1" applyFont="1" applyFill="1" applyBorder="1" applyAlignment="1" applyProtection="1">
      <alignment vertical="center"/>
      <protection locked="0"/>
    </xf>
    <xf numFmtId="0" fontId="19" fillId="3" borderId="49" xfId="0" applyFont="1" applyFill="1" applyBorder="1" applyAlignment="1" applyProtection="1">
      <alignment vertical="center"/>
      <protection locked="0"/>
    </xf>
    <xf numFmtId="0" fontId="19" fillId="3" borderId="50" xfId="0" applyFont="1" applyFill="1" applyBorder="1" applyAlignment="1" applyProtection="1">
      <alignment vertical="center"/>
      <protection locked="0"/>
    </xf>
    <xf numFmtId="0" fontId="19" fillId="3" borderId="51"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43" fillId="0" borderId="0" xfId="0" applyFont="1" applyBorder="1" applyAlignment="1">
      <alignment vertical="center"/>
    </xf>
    <xf numFmtId="0" fontId="17" fillId="0" borderId="34" xfId="0" applyFont="1" applyBorder="1" applyAlignment="1">
      <alignment horizontal="left" vertical="center"/>
    </xf>
    <xf numFmtId="0" fontId="19" fillId="3" borderId="52" xfId="0" applyFont="1" applyFill="1" applyBorder="1" applyProtection="1">
      <protection locked="0"/>
    </xf>
    <xf numFmtId="0" fontId="19" fillId="3" borderId="24" xfId="0" applyFont="1" applyFill="1" applyBorder="1" applyProtection="1">
      <protection locked="0"/>
    </xf>
    <xf numFmtId="0" fontId="20" fillId="3" borderId="23" xfId="0" applyFont="1" applyFill="1" applyBorder="1" applyProtection="1">
      <protection locked="0"/>
    </xf>
    <xf numFmtId="0" fontId="20" fillId="3" borderId="24" xfId="0" applyFont="1" applyFill="1" applyBorder="1" applyProtection="1">
      <protection locked="0"/>
    </xf>
    <xf numFmtId="0" fontId="19" fillId="3" borderId="47" xfId="0" applyFont="1" applyFill="1" applyBorder="1" applyProtection="1">
      <protection locked="0"/>
    </xf>
    <xf numFmtId="0" fontId="19" fillId="3" borderId="33" xfId="0" applyFont="1" applyFill="1" applyBorder="1" applyProtection="1">
      <protection locked="0"/>
    </xf>
    <xf numFmtId="0" fontId="19" fillId="3" borderId="53" xfId="0" applyFont="1" applyFill="1" applyBorder="1" applyProtection="1">
      <protection locked="0"/>
    </xf>
    <xf numFmtId="0" fontId="19" fillId="3" borderId="54" xfId="0" applyFont="1" applyFill="1" applyBorder="1" applyProtection="1">
      <protection locked="0"/>
    </xf>
    <xf numFmtId="0" fontId="57" fillId="4" borderId="55" xfId="0" applyFont="1" applyFill="1" applyBorder="1" applyAlignment="1" applyProtection="1">
      <alignment horizontal="center" vertical="center"/>
    </xf>
    <xf numFmtId="0" fontId="4" fillId="5" borderId="56" xfId="0" applyFont="1" applyFill="1" applyBorder="1" applyAlignment="1" applyProtection="1">
      <alignment vertical="center"/>
    </xf>
    <xf numFmtId="170" fontId="57" fillId="4" borderId="55" xfId="0" applyNumberFormat="1" applyFont="1" applyFill="1" applyBorder="1" applyAlignment="1" applyProtection="1">
      <alignment horizontal="center" vertical="center"/>
    </xf>
    <xf numFmtId="0" fontId="4" fillId="0" borderId="12" xfId="0" applyFont="1" applyBorder="1" applyAlignment="1" applyProtection="1">
      <alignment vertical="center"/>
    </xf>
    <xf numFmtId="0" fontId="14" fillId="0" borderId="12" xfId="0" applyFont="1" applyBorder="1" applyAlignment="1">
      <alignment vertical="center"/>
    </xf>
    <xf numFmtId="0" fontId="4" fillId="0" borderId="12" xfId="0" applyFont="1" applyFill="1" applyBorder="1" applyAlignment="1" applyProtection="1">
      <alignment horizontal="center" vertical="center"/>
    </xf>
    <xf numFmtId="9" fontId="4" fillId="0" borderId="12" xfId="15" applyFont="1" applyFill="1" applyBorder="1" applyAlignment="1" applyProtection="1">
      <alignment vertical="center"/>
    </xf>
    <xf numFmtId="170" fontId="4" fillId="0" borderId="12" xfId="0" applyNumberFormat="1" applyFont="1" applyFill="1" applyBorder="1" applyAlignment="1" applyProtection="1">
      <alignment horizontal="left" vertical="center"/>
    </xf>
    <xf numFmtId="170" fontId="4" fillId="0" borderId="12" xfId="0" applyNumberFormat="1" applyFont="1" applyFill="1" applyBorder="1" applyAlignment="1" applyProtection="1">
      <alignment horizontal="center" vertical="center"/>
    </xf>
    <xf numFmtId="170" fontId="4" fillId="0" borderId="12" xfId="0" applyNumberFormat="1" applyFont="1" applyBorder="1" applyAlignment="1" applyProtection="1">
      <alignment vertical="center"/>
    </xf>
    <xf numFmtId="0" fontId="5" fillId="0" borderId="12" xfId="0" applyFont="1" applyFill="1" applyBorder="1" applyAlignment="1" applyProtection="1">
      <alignment vertical="center"/>
    </xf>
    <xf numFmtId="0" fontId="40" fillId="0" borderId="58" xfId="0" applyFont="1" applyFill="1" applyBorder="1" applyAlignment="1" applyProtection="1">
      <alignment horizontal="left" vertical="center"/>
    </xf>
    <xf numFmtId="0" fontId="40" fillId="0" borderId="5" xfId="0" applyFont="1" applyFill="1" applyBorder="1" applyAlignment="1" applyProtection="1">
      <alignment horizontal="lef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4" fillId="0" borderId="1" xfId="0" applyFont="1" applyBorder="1" applyAlignment="1" applyProtection="1">
      <alignment vertical="center"/>
    </xf>
    <xf numFmtId="0" fontId="5" fillId="0" borderId="13" xfId="0" applyFont="1" applyFill="1" applyBorder="1" applyAlignment="1" applyProtection="1">
      <alignment vertical="center"/>
    </xf>
    <xf numFmtId="164" fontId="5" fillId="0" borderId="0" xfId="0" applyNumberFormat="1" applyFont="1" applyFill="1" applyBorder="1" applyAlignment="1" applyProtection="1">
      <alignment horizontal="left" vertical="center"/>
    </xf>
    <xf numFmtId="0" fontId="22" fillId="0" borderId="58" xfId="0" applyFont="1" applyFill="1" applyBorder="1" applyAlignment="1" applyProtection="1">
      <alignment vertical="center"/>
    </xf>
    <xf numFmtId="172" fontId="7" fillId="6" borderId="5" xfId="0" applyNumberFormat="1" applyFont="1" applyFill="1" applyBorder="1" applyAlignment="1" applyProtection="1">
      <alignment horizontal="right" vertical="center"/>
    </xf>
    <xf numFmtId="170" fontId="7" fillId="6" borderId="5" xfId="0" applyNumberFormat="1" applyFont="1" applyFill="1" applyBorder="1" applyAlignment="1" applyProtection="1">
      <alignment horizontal="right" vertical="center"/>
    </xf>
    <xf numFmtId="172" fontId="4" fillId="6" borderId="5" xfId="0" applyNumberFormat="1" applyFont="1" applyFill="1" applyBorder="1" applyAlignment="1" applyProtection="1">
      <alignment vertical="center"/>
    </xf>
    <xf numFmtId="172" fontId="4" fillId="6" borderId="59" xfId="0" applyNumberFormat="1" applyFont="1" applyFill="1" applyBorder="1" applyAlignment="1" applyProtection="1">
      <alignment vertical="center"/>
    </xf>
    <xf numFmtId="0" fontId="0" fillId="0" borderId="6" xfId="0" applyBorder="1"/>
    <xf numFmtId="170" fontId="14" fillId="0" borderId="14" xfId="0" applyNumberFormat="1" applyFont="1" applyBorder="1" applyAlignment="1">
      <alignment vertical="center"/>
    </xf>
    <xf numFmtId="14" fontId="19" fillId="3" borderId="22" xfId="0" applyNumberFormat="1" applyFont="1" applyFill="1" applyBorder="1" applyProtection="1">
      <protection locked="0"/>
    </xf>
    <xf numFmtId="0" fontId="19" fillId="3" borderId="61" xfId="0" applyFont="1" applyFill="1" applyBorder="1" applyAlignment="1" applyProtection="1">
      <alignment vertical="center"/>
      <protection locked="0"/>
    </xf>
    <xf numFmtId="0" fontId="19" fillId="3" borderId="62" xfId="0" applyFont="1" applyFill="1" applyBorder="1" applyAlignment="1" applyProtection="1">
      <alignment vertical="center"/>
      <protection locked="0"/>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19" fillId="3" borderId="63" xfId="0" applyFont="1" applyFill="1" applyBorder="1" applyAlignment="1" applyProtection="1">
      <alignment vertical="center"/>
      <protection locked="0"/>
    </xf>
    <xf numFmtId="0" fontId="19" fillId="3" borderId="64" xfId="0" applyFont="1" applyFill="1" applyBorder="1" applyAlignment="1" applyProtection="1">
      <alignment vertical="center"/>
      <protection locked="0"/>
    </xf>
    <xf numFmtId="0" fontId="17" fillId="0" borderId="16" xfId="0" applyFont="1" applyBorder="1" applyAlignment="1">
      <alignment vertical="center"/>
    </xf>
    <xf numFmtId="0" fontId="19" fillId="3" borderId="65" xfId="0" applyFont="1" applyFill="1" applyBorder="1" applyAlignment="1" applyProtection="1">
      <alignment vertical="center"/>
      <protection locked="0"/>
    </xf>
    <xf numFmtId="0" fontId="43" fillId="0" borderId="11" xfId="0" applyFont="1" applyBorder="1" applyAlignment="1">
      <alignment horizontal="right" vertical="center"/>
    </xf>
    <xf numFmtId="0" fontId="16" fillId="0" borderId="60" xfId="0" applyFont="1" applyBorder="1" applyAlignment="1">
      <alignment vertical="center"/>
    </xf>
    <xf numFmtId="0" fontId="16" fillId="0" borderId="17" xfId="0" applyFont="1" applyBorder="1" applyAlignment="1">
      <alignment vertical="center"/>
    </xf>
    <xf numFmtId="170" fontId="16" fillId="0" borderId="18" xfId="0" applyNumberFormat="1" applyFont="1" applyBorder="1" applyAlignment="1">
      <alignment vertical="center"/>
    </xf>
    <xf numFmtId="14" fontId="20" fillId="3" borderId="22" xfId="0" applyNumberFormat="1" applyFont="1" applyFill="1" applyBorder="1" applyProtection="1">
      <protection locked="0"/>
    </xf>
    <xf numFmtId="0" fontId="17" fillId="0" borderId="7" xfId="0" applyFont="1" applyBorder="1" applyAlignment="1">
      <alignment horizontal="right" vertical="center"/>
    </xf>
    <xf numFmtId="0" fontId="17" fillId="0" borderId="60" xfId="0" applyFont="1" applyBorder="1" applyAlignment="1">
      <alignment horizontal="right" vertical="center"/>
    </xf>
    <xf numFmtId="14" fontId="19" fillId="3" borderId="66" xfId="0" applyNumberFormat="1" applyFont="1" applyFill="1" applyBorder="1" applyProtection="1">
      <protection locked="0"/>
    </xf>
    <xf numFmtId="0" fontId="19" fillId="3" borderId="66" xfId="0" applyFont="1" applyFill="1" applyBorder="1" applyAlignment="1" applyProtection="1">
      <alignment vertical="center"/>
      <protection locked="0"/>
    </xf>
    <xf numFmtId="0" fontId="19" fillId="3" borderId="52" xfId="0" applyFont="1" applyFill="1" applyBorder="1" applyAlignment="1" applyProtection="1">
      <alignment vertical="center"/>
      <protection locked="0"/>
    </xf>
    <xf numFmtId="0" fontId="19" fillId="3" borderId="53" xfId="0" applyFont="1" applyFill="1" applyBorder="1" applyAlignment="1" applyProtection="1">
      <alignment vertical="center"/>
      <protection locked="0"/>
    </xf>
    <xf numFmtId="0" fontId="19" fillId="3" borderId="54" xfId="0" applyFont="1" applyFill="1" applyBorder="1" applyAlignment="1" applyProtection="1">
      <alignment vertical="center"/>
      <protection locked="0"/>
    </xf>
    <xf numFmtId="0" fontId="19" fillId="3" borderId="0" xfId="0" applyFont="1" applyFill="1" applyBorder="1" applyAlignment="1" applyProtection="1">
      <alignment vertical="center"/>
      <protection locked="0"/>
    </xf>
    <xf numFmtId="0" fontId="5" fillId="3" borderId="54" xfId="0" applyFont="1" applyFill="1" applyBorder="1" applyAlignment="1" applyProtection="1">
      <alignment vertical="center"/>
    </xf>
    <xf numFmtId="0" fontId="19" fillId="0" borderId="32" xfId="0" applyFont="1" applyBorder="1" applyAlignment="1" applyProtection="1">
      <alignment vertical="center"/>
      <protection locked="0"/>
    </xf>
    <xf numFmtId="0" fontId="7" fillId="0" borderId="67" xfId="0" applyFont="1" applyBorder="1" applyAlignment="1">
      <alignment vertical="center"/>
    </xf>
    <xf numFmtId="170" fontId="14" fillId="0" borderId="68" xfId="0" applyNumberFormat="1" applyFont="1" applyBorder="1" applyAlignment="1">
      <alignment vertical="center"/>
    </xf>
    <xf numFmtId="0" fontId="65" fillId="0" borderId="9" xfId="0" applyFont="1" applyBorder="1" applyAlignment="1">
      <alignment horizontal="left" vertical="center"/>
    </xf>
    <xf numFmtId="0" fontId="7" fillId="0" borderId="69" xfId="0" applyFont="1" applyBorder="1" applyAlignment="1" applyProtection="1">
      <alignment horizontal="center" vertical="center" wrapText="1"/>
    </xf>
    <xf numFmtId="49" fontId="7" fillId="0" borderId="69" xfId="0" applyNumberFormat="1" applyFont="1" applyBorder="1" applyAlignment="1" applyProtection="1">
      <alignment vertical="center"/>
    </xf>
    <xf numFmtId="49" fontId="7" fillId="0" borderId="70" xfId="0" applyNumberFormat="1" applyFont="1" applyFill="1" applyBorder="1" applyAlignment="1" applyProtection="1">
      <alignment horizontal="center" vertical="center" wrapText="1"/>
    </xf>
    <xf numFmtId="15" fontId="7" fillId="7" borderId="54" xfId="0" applyNumberFormat="1" applyFont="1" applyFill="1" applyBorder="1" applyAlignment="1" applyProtection="1">
      <alignment horizontal="center" vertical="center"/>
    </xf>
    <xf numFmtId="15" fontId="7" fillId="7" borderId="33" xfId="0" applyNumberFormat="1" applyFont="1" applyFill="1" applyBorder="1" applyAlignment="1" applyProtection="1">
      <alignment horizontal="center" vertical="center"/>
    </xf>
    <xf numFmtId="175" fontId="19" fillId="3" borderId="27" xfId="0" applyNumberFormat="1" applyFont="1" applyFill="1" applyBorder="1" applyAlignment="1" applyProtection="1">
      <alignment vertical="center"/>
      <protection locked="0"/>
    </xf>
    <xf numFmtId="175" fontId="19" fillId="3" borderId="62" xfId="0" applyNumberFormat="1" applyFont="1" applyFill="1" applyBorder="1" applyAlignment="1" applyProtection="1">
      <alignment vertical="center"/>
      <protection locked="0"/>
    </xf>
    <xf numFmtId="175" fontId="19" fillId="3" borderId="52" xfId="0" applyNumberFormat="1" applyFont="1" applyFill="1" applyBorder="1" applyProtection="1">
      <protection locked="0"/>
    </xf>
    <xf numFmtId="0" fontId="5" fillId="0" borderId="6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vertical="center"/>
    </xf>
    <xf numFmtId="0" fontId="70" fillId="0" borderId="60" xfId="0" applyFont="1" applyFill="1" applyBorder="1" applyAlignment="1" applyProtection="1">
      <alignment vertical="center"/>
    </xf>
    <xf numFmtId="0" fontId="48" fillId="0" borderId="60" xfId="0" applyFont="1" applyFill="1" applyBorder="1" applyAlignment="1" applyProtection="1">
      <alignment vertical="center"/>
    </xf>
    <xf numFmtId="0" fontId="71" fillId="0" borderId="60" xfId="0" applyFont="1" applyFill="1" applyBorder="1" applyAlignment="1" applyProtection="1">
      <alignment vertical="center"/>
    </xf>
    <xf numFmtId="3" fontId="27" fillId="0" borderId="0" xfId="14" applyNumberFormat="1" applyFont="1" applyFill="1" applyBorder="1" applyProtection="1"/>
    <xf numFmtId="0" fontId="27" fillId="0" borderId="0" xfId="0" applyFont="1" applyFill="1"/>
    <xf numFmtId="49" fontId="17" fillId="3" borderId="29" xfId="0" applyNumberFormat="1" applyFont="1" applyFill="1" applyBorder="1" applyAlignment="1" applyProtection="1">
      <alignment vertical="center"/>
      <protection locked="0"/>
    </xf>
    <xf numFmtId="0" fontId="77" fillId="0" borderId="46" xfId="0" applyFont="1" applyBorder="1" applyAlignment="1" applyProtection="1">
      <alignment horizontal="left" vertical="center"/>
    </xf>
    <xf numFmtId="1" fontId="25" fillId="0" borderId="30" xfId="0" applyNumberFormat="1"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7" fillId="0" borderId="0" xfId="0" applyFont="1" applyFill="1" applyBorder="1" applyAlignment="1" applyProtection="1">
      <alignment horizontal="right" vertical="center"/>
    </xf>
    <xf numFmtId="0" fontId="17" fillId="0" borderId="7" xfId="0" applyFont="1" applyBorder="1" applyAlignment="1" applyProtection="1">
      <alignment horizontal="left" vertical="center"/>
    </xf>
    <xf numFmtId="0" fontId="17" fillId="0" borderId="6" xfId="0" applyFont="1" applyBorder="1" applyAlignment="1" applyProtection="1">
      <alignment horizontal="right" vertical="center"/>
    </xf>
    <xf numFmtId="0" fontId="17" fillId="0" borderId="2" xfId="0" applyFont="1" applyBorder="1" applyAlignment="1" applyProtection="1">
      <alignment horizontal="left" vertical="center"/>
    </xf>
    <xf numFmtId="0" fontId="17" fillId="0" borderId="0" xfId="0" applyFont="1" applyBorder="1" applyAlignment="1" applyProtection="1">
      <alignment horizontal="right" vertical="center"/>
    </xf>
    <xf numFmtId="49" fontId="17" fillId="0" borderId="0" xfId="0" applyNumberFormat="1" applyFont="1" applyBorder="1" applyAlignment="1" applyProtection="1">
      <alignment horizontal="right" vertical="center"/>
    </xf>
    <xf numFmtId="0" fontId="46" fillId="0" borderId="6" xfId="13" applyFont="1" applyFill="1" applyBorder="1" applyAlignment="1" applyProtection="1">
      <alignment horizontal="left" vertical="center"/>
    </xf>
    <xf numFmtId="0" fontId="17" fillId="0" borderId="6"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center" vertical="center" wrapText="1"/>
    </xf>
    <xf numFmtId="0" fontId="16" fillId="0" borderId="0" xfId="0" applyNumberFormat="1" applyFont="1" applyAlignment="1">
      <alignment vertical="center" wrapText="1"/>
    </xf>
    <xf numFmtId="0" fontId="16" fillId="0" borderId="0" xfId="0" applyNumberFormat="1" applyFont="1" applyBorder="1" applyAlignment="1">
      <alignment vertical="center" wrapText="1"/>
    </xf>
    <xf numFmtId="0" fontId="16" fillId="0" borderId="0" xfId="0" applyFont="1" applyBorder="1" applyAlignment="1">
      <alignment vertical="center" wrapText="1"/>
    </xf>
    <xf numFmtId="0" fontId="17" fillId="0" borderId="0" xfId="0" applyNumberFormat="1" applyFont="1" applyAlignment="1">
      <alignment vertical="center" wrapText="1"/>
    </xf>
    <xf numFmtId="0" fontId="17" fillId="0" borderId="7" xfId="0" applyFont="1" applyBorder="1" applyAlignment="1" applyProtection="1">
      <alignment vertical="center"/>
    </xf>
    <xf numFmtId="0" fontId="36" fillId="0" borderId="0" xfId="0" applyFont="1" applyBorder="1" applyAlignment="1" applyProtection="1">
      <alignment horizontal="right" vertical="center"/>
    </xf>
    <xf numFmtId="0" fontId="17" fillId="0" borderId="2" xfId="0" applyFont="1" applyBorder="1" applyAlignment="1" applyProtection="1">
      <alignment horizontal="right" vertical="center"/>
    </xf>
    <xf numFmtId="0" fontId="26" fillId="0" borderId="2" xfId="0" applyFont="1" applyBorder="1" applyAlignment="1">
      <alignment horizontal="right" vertical="center"/>
    </xf>
    <xf numFmtId="0" fontId="56" fillId="0" borderId="11" xfId="0" applyFont="1" applyBorder="1" applyAlignment="1">
      <alignment horizontal="left" vertical="center"/>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4" fillId="0" borderId="0" xfId="0" applyFont="1" applyBorder="1" applyAlignment="1" applyProtection="1">
      <alignment vertical="center" wrapText="1"/>
    </xf>
    <xf numFmtId="49" fontId="16" fillId="0" borderId="0" xfId="0" applyNumberFormat="1" applyFont="1" applyBorder="1" applyAlignment="1" applyProtection="1">
      <alignment vertical="center"/>
    </xf>
    <xf numFmtId="0" fontId="79" fillId="0" borderId="0" xfId="0" applyFont="1" applyBorder="1" applyAlignment="1" applyProtection="1">
      <alignment horizontal="center" vertical="center"/>
    </xf>
    <xf numFmtId="49" fontId="55" fillId="0" borderId="0" xfId="0" applyNumberFormat="1" applyFont="1" applyBorder="1" applyAlignment="1" applyProtection="1">
      <alignment vertical="center"/>
    </xf>
    <xf numFmtId="0" fontId="55" fillId="0" borderId="0" xfId="0" applyFont="1" applyBorder="1" applyAlignment="1" applyProtection="1">
      <alignment vertical="center"/>
    </xf>
    <xf numFmtId="0" fontId="55" fillId="0" borderId="0" xfId="0" applyFont="1" applyBorder="1" applyAlignment="1" applyProtection="1">
      <alignment horizontal="center" vertical="center"/>
    </xf>
    <xf numFmtId="0" fontId="14" fillId="0" borderId="12" xfId="0" applyFont="1" applyBorder="1" applyAlignment="1" applyProtection="1">
      <alignment vertical="center"/>
    </xf>
    <xf numFmtId="0" fontId="14" fillId="0" borderId="0" xfId="0" applyFont="1" applyBorder="1" applyAlignment="1" applyProtection="1">
      <alignment horizontal="left" vertical="center"/>
    </xf>
    <xf numFmtId="0" fontId="14" fillId="0" borderId="2" xfId="0" applyFont="1" applyBorder="1" applyAlignment="1" applyProtection="1">
      <alignment vertical="center"/>
    </xf>
    <xf numFmtId="2" fontId="4" fillId="0" borderId="0" xfId="0" applyNumberFormat="1" applyFont="1" applyBorder="1" applyAlignment="1" applyProtection="1">
      <alignment horizontal="left" vertical="center"/>
    </xf>
    <xf numFmtId="0" fontId="15"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4" xfId="0" applyFont="1" applyBorder="1" applyAlignment="1" applyProtection="1">
      <alignment vertical="center" wrapText="1"/>
    </xf>
    <xf numFmtId="0" fontId="14" fillId="0" borderId="5" xfId="0" applyFont="1" applyBorder="1" applyAlignment="1" applyProtection="1">
      <alignment vertical="center"/>
    </xf>
    <xf numFmtId="0" fontId="14" fillId="0" borderId="11" xfId="0" applyFont="1" applyBorder="1" applyAlignment="1" applyProtection="1">
      <alignment vertical="center"/>
    </xf>
    <xf numFmtId="49" fontId="34" fillId="0" borderId="0" xfId="0" applyNumberFormat="1" applyFont="1" applyBorder="1" applyAlignment="1" applyProtection="1">
      <alignment vertical="center"/>
    </xf>
    <xf numFmtId="0" fontId="34" fillId="0" borderId="11" xfId="0" applyFont="1" applyBorder="1" applyAlignment="1" applyProtection="1">
      <alignment vertical="center"/>
    </xf>
    <xf numFmtId="0" fontId="4" fillId="0" borderId="2" xfId="0" applyFont="1" applyBorder="1" applyAlignment="1" applyProtection="1">
      <alignment vertical="center" wrapText="1"/>
    </xf>
    <xf numFmtId="0" fontId="4" fillId="0" borderId="2" xfId="0" applyFont="1" applyBorder="1" applyAlignment="1" applyProtection="1">
      <alignment vertical="center"/>
    </xf>
    <xf numFmtId="0" fontId="41" fillId="0" borderId="0" xfId="0" applyFont="1" applyBorder="1" applyAlignment="1" applyProtection="1">
      <alignment horizontal="left" vertical="center"/>
    </xf>
    <xf numFmtId="0" fontId="4" fillId="0" borderId="71" xfId="0" applyFont="1" applyBorder="1" applyAlignment="1" applyProtection="1">
      <alignment vertical="center"/>
    </xf>
    <xf numFmtId="0" fontId="4" fillId="0" borderId="60" xfId="0" applyFont="1" applyBorder="1" applyAlignment="1" applyProtection="1">
      <alignment vertical="center"/>
    </xf>
    <xf numFmtId="0" fontId="47" fillId="0" borderId="60" xfId="0" applyFont="1" applyBorder="1" applyAlignment="1" applyProtection="1">
      <alignment horizontal="left" vertical="center"/>
    </xf>
    <xf numFmtId="0" fontId="41" fillId="0" borderId="60" xfId="0" applyFont="1" applyBorder="1" applyAlignment="1" applyProtection="1">
      <alignment horizontal="left" vertical="center"/>
    </xf>
    <xf numFmtId="0" fontId="19" fillId="0" borderId="60" xfId="0" applyFont="1" applyBorder="1" applyAlignment="1" applyProtection="1">
      <alignment vertical="center"/>
    </xf>
    <xf numFmtId="0" fontId="83" fillId="0" borderId="0" xfId="0" applyFont="1"/>
    <xf numFmtId="0" fontId="36" fillId="0" borderId="11" xfId="0" applyFont="1" applyBorder="1" applyAlignment="1">
      <alignment vertical="center"/>
    </xf>
    <xf numFmtId="0" fontId="6" fillId="0" borderId="5" xfId="0" applyFont="1" applyFill="1" applyBorder="1" applyAlignment="1" applyProtection="1">
      <alignment horizontal="right" vertical="center"/>
    </xf>
    <xf numFmtId="0" fontId="81" fillId="0" borderId="60" xfId="0" applyFont="1" applyFill="1" applyBorder="1" applyAlignment="1" applyProtection="1">
      <alignment horizontal="right" vertical="center"/>
    </xf>
    <xf numFmtId="176" fontId="64" fillId="0" borderId="2" xfId="0" applyNumberFormat="1" applyFont="1" applyBorder="1" applyAlignment="1" applyProtection="1">
      <alignment vertical="center"/>
    </xf>
    <xf numFmtId="0" fontId="40" fillId="0" borderId="71" xfId="0" applyFont="1" applyFill="1" applyBorder="1" applyAlignment="1" applyProtection="1">
      <alignment horizontal="left" vertical="center"/>
    </xf>
    <xf numFmtId="0" fontId="88" fillId="0" borderId="0" xfId="0" applyFont="1"/>
    <xf numFmtId="0" fontId="83" fillId="0" borderId="0" xfId="0" applyFont="1" applyFill="1"/>
    <xf numFmtId="9" fontId="4" fillId="0" borderId="4" xfId="15" applyFont="1" applyFill="1" applyBorder="1" applyAlignment="1" applyProtection="1">
      <alignment vertical="center"/>
    </xf>
    <xf numFmtId="170" fontId="4" fillId="0" borderId="4" xfId="0" applyNumberFormat="1" applyFont="1" applyFill="1" applyBorder="1" applyAlignment="1" applyProtection="1">
      <alignment horizontal="center" vertical="center"/>
    </xf>
    <xf numFmtId="170" fontId="6" fillId="0" borderId="4" xfId="0" applyNumberFormat="1" applyFont="1" applyFill="1" applyBorder="1" applyAlignment="1" applyProtection="1">
      <alignment horizontal="right" vertical="center"/>
    </xf>
    <xf numFmtId="0" fontId="40" fillId="0" borderId="2" xfId="0" applyFont="1" applyFill="1" applyBorder="1" applyAlignment="1" applyProtection="1">
      <alignment vertical="center"/>
    </xf>
    <xf numFmtId="0" fontId="5" fillId="0" borderId="67" xfId="0" applyFont="1" applyFill="1" applyBorder="1" applyAlignment="1" applyProtection="1">
      <alignment vertical="center"/>
    </xf>
    <xf numFmtId="2" fontId="5" fillId="0" borderId="12"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14" fillId="0" borderId="60" xfId="0" applyFont="1" applyBorder="1" applyAlignment="1" applyProtection="1">
      <alignment vertical="center"/>
    </xf>
    <xf numFmtId="0" fontId="14" fillId="0" borderId="60" xfId="0" applyFont="1" applyFill="1" applyBorder="1" applyAlignment="1" applyProtection="1">
      <alignment vertical="center"/>
    </xf>
    <xf numFmtId="0" fontId="23" fillId="0" borderId="0" xfId="0" applyFont="1" applyBorder="1" applyAlignment="1">
      <alignment vertical="center"/>
    </xf>
    <xf numFmtId="0" fontId="75" fillId="0" borderId="72" xfId="0" applyFont="1" applyFill="1" applyBorder="1" applyAlignment="1" applyProtection="1">
      <alignment horizontal="center" vertical="center"/>
    </xf>
    <xf numFmtId="0" fontId="25" fillId="3" borderId="30" xfId="0" applyFont="1" applyFill="1" applyBorder="1" applyAlignment="1" applyProtection="1">
      <alignment horizontal="center" vertical="center"/>
      <protection locked="0"/>
    </xf>
    <xf numFmtId="170" fontId="46" fillId="0" borderId="6" xfId="0" applyNumberFormat="1" applyFont="1" applyFill="1" applyBorder="1" applyAlignment="1" applyProtection="1">
      <alignment horizontal="right" vertical="center"/>
    </xf>
    <xf numFmtId="0" fontId="47" fillId="0" borderId="7" xfId="0" applyFont="1" applyBorder="1" applyAlignment="1" applyProtection="1">
      <alignment vertical="center"/>
    </xf>
    <xf numFmtId="0" fontId="21" fillId="0" borderId="6" xfId="0" applyFont="1" applyFill="1" applyBorder="1" applyAlignment="1" applyProtection="1">
      <alignment vertical="center"/>
    </xf>
    <xf numFmtId="170" fontId="46" fillId="0" borderId="6" xfId="0" applyNumberFormat="1" applyFont="1" applyFill="1" applyBorder="1" applyAlignment="1" applyProtection="1">
      <alignment vertical="center"/>
    </xf>
    <xf numFmtId="170" fontId="40" fillId="0" borderId="6" xfId="0" applyNumberFormat="1" applyFont="1" applyFill="1" applyBorder="1" applyAlignment="1" applyProtection="1">
      <alignment vertical="center"/>
    </xf>
    <xf numFmtId="170" fontId="21" fillId="0" borderId="6" xfId="0" applyNumberFormat="1" applyFont="1" applyFill="1" applyBorder="1" applyAlignment="1" applyProtection="1">
      <alignment vertical="center"/>
    </xf>
    <xf numFmtId="0" fontId="14" fillId="0" borderId="7" xfId="0" applyFont="1" applyBorder="1" applyAlignment="1" applyProtection="1">
      <alignment vertical="center"/>
    </xf>
    <xf numFmtId="0" fontId="43" fillId="0" borderId="6" xfId="0" applyFont="1" applyBorder="1" applyAlignment="1" applyProtection="1">
      <alignment vertical="center"/>
    </xf>
    <xf numFmtId="0" fontId="4" fillId="0" borderId="6" xfId="0" applyFont="1" applyFill="1" applyBorder="1" applyAlignment="1" applyProtection="1">
      <alignment horizontal="left" vertical="center"/>
    </xf>
    <xf numFmtId="0" fontId="44" fillId="0" borderId="6"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46" fillId="0" borderId="6" xfId="0" applyFont="1" applyFill="1" applyBorder="1" applyAlignment="1" applyProtection="1">
      <alignment horizontal="right" vertical="center"/>
    </xf>
    <xf numFmtId="0" fontId="14" fillId="0" borderId="2" xfId="0" applyFont="1" applyBorder="1" applyAlignment="1" applyProtection="1">
      <alignment horizontal="left" vertical="center"/>
    </xf>
    <xf numFmtId="0" fontId="60" fillId="0" borderId="12" xfId="0" applyFont="1" applyBorder="1" applyAlignment="1" applyProtection="1">
      <alignment vertical="center" wrapText="1"/>
    </xf>
    <xf numFmtId="0" fontId="27" fillId="0" borderId="0" xfId="0" applyFont="1" applyFill="1" applyBorder="1" applyAlignment="1" applyProtection="1">
      <alignment horizontal="left" vertical="center"/>
    </xf>
    <xf numFmtId="0" fontId="15" fillId="0" borderId="6" xfId="0" applyFont="1" applyBorder="1" applyAlignment="1" applyProtection="1">
      <alignment horizontal="right" vertical="center"/>
    </xf>
    <xf numFmtId="9" fontId="58" fillId="0" borderId="2" xfId="0" applyNumberFormat="1" applyFont="1" applyFill="1" applyBorder="1" applyAlignment="1" applyProtection="1">
      <alignment vertical="center"/>
    </xf>
    <xf numFmtId="0" fontId="59" fillId="0" borderId="0" xfId="0" applyFont="1" applyBorder="1" applyAlignment="1" applyProtection="1">
      <alignment vertical="center"/>
    </xf>
    <xf numFmtId="0" fontId="60" fillId="0" borderId="0" xfId="0" applyFont="1" applyBorder="1" applyAlignment="1" applyProtection="1">
      <alignment vertical="center"/>
    </xf>
    <xf numFmtId="0" fontId="33" fillId="0" borderId="0" xfId="0" applyFont="1" applyBorder="1" applyAlignment="1">
      <alignment horizontal="left" vertical="center"/>
    </xf>
    <xf numFmtId="170" fontId="6" fillId="0" borderId="6" xfId="0" applyNumberFormat="1" applyFont="1" applyFill="1" applyBorder="1" applyAlignment="1" applyProtection="1">
      <alignment horizontal="right" vertical="center"/>
    </xf>
    <xf numFmtId="0" fontId="47" fillId="0" borderId="4" xfId="0" applyFont="1" applyBorder="1" applyAlignment="1" applyProtection="1">
      <alignment horizontal="left" vertical="center"/>
    </xf>
    <xf numFmtId="170" fontId="16" fillId="0" borderId="11" xfId="0" applyNumberFormat="1" applyFont="1" applyFill="1" applyBorder="1" applyAlignment="1" applyProtection="1">
      <alignment vertical="center"/>
    </xf>
    <xf numFmtId="0" fontId="14" fillId="0" borderId="7" xfId="0" applyFont="1" applyBorder="1" applyAlignment="1" applyProtection="1">
      <alignment horizontal="left" vertical="center"/>
    </xf>
    <xf numFmtId="0" fontId="14" fillId="0" borderId="6" xfId="0" applyFont="1" applyBorder="1" applyAlignment="1" applyProtection="1">
      <alignment horizontal="left" vertical="center"/>
    </xf>
    <xf numFmtId="0" fontId="17" fillId="0" borderId="71" xfId="0" applyFont="1" applyBorder="1" applyAlignment="1" applyProtection="1">
      <alignment vertical="center"/>
    </xf>
    <xf numFmtId="49" fontId="55" fillId="0" borderId="73" xfId="0" applyNumberFormat="1" applyFont="1" applyBorder="1" applyAlignment="1" applyProtection="1">
      <alignment vertical="center"/>
    </xf>
    <xf numFmtId="177" fontId="55" fillId="0" borderId="73" xfId="0" applyNumberFormat="1" applyFont="1" applyBorder="1" applyAlignment="1" applyProtection="1">
      <alignment horizontal="left" vertical="center"/>
    </xf>
    <xf numFmtId="0" fontId="17" fillId="0" borderId="2" xfId="0" applyFont="1" applyFill="1" applyBorder="1" applyAlignment="1" applyProtection="1">
      <alignment horizontal="right" vertical="center"/>
    </xf>
    <xf numFmtId="49" fontId="55" fillId="0" borderId="30" xfId="0" applyNumberFormat="1" applyFont="1" applyBorder="1" applyAlignment="1" applyProtection="1">
      <alignment vertical="center"/>
    </xf>
    <xf numFmtId="170" fontId="5" fillId="0" borderId="0" xfId="0" applyNumberFormat="1" applyFont="1" applyFill="1" applyBorder="1" applyAlignment="1" applyProtection="1">
      <alignment horizontal="left" vertical="center"/>
    </xf>
    <xf numFmtId="9" fontId="91" fillId="0" borderId="2" xfId="0" applyNumberFormat="1" applyFont="1" applyFill="1" applyBorder="1" applyAlignment="1" applyProtection="1">
      <alignment vertical="center"/>
    </xf>
    <xf numFmtId="9" fontId="5" fillId="0" borderId="12" xfId="15" applyFont="1" applyFill="1" applyBorder="1" applyAlignment="1" applyProtection="1">
      <alignment vertical="center"/>
    </xf>
    <xf numFmtId="0" fontId="41" fillId="0" borderId="2" xfId="0" applyFont="1" applyFill="1" applyBorder="1" applyAlignment="1" applyProtection="1">
      <alignment vertical="center"/>
    </xf>
    <xf numFmtId="174" fontId="55" fillId="0" borderId="74" xfId="0" applyNumberFormat="1" applyFont="1" applyBorder="1" applyAlignment="1" applyProtection="1">
      <alignment horizontal="left" vertical="center"/>
    </xf>
    <xf numFmtId="49" fontId="55" fillId="0" borderId="42" xfId="0" applyNumberFormat="1" applyFont="1" applyBorder="1" applyAlignment="1" applyProtection="1">
      <alignment vertical="center"/>
    </xf>
    <xf numFmtId="49" fontId="55" fillId="0" borderId="75" xfId="0" applyNumberFormat="1" applyFont="1" applyBorder="1" applyAlignment="1" applyProtection="1">
      <alignment vertical="center"/>
    </xf>
    <xf numFmtId="0" fontId="43" fillId="0" borderId="3" xfId="0" applyFont="1" applyBorder="1" applyAlignment="1" applyProtection="1">
      <alignment vertical="center"/>
    </xf>
    <xf numFmtId="0" fontId="14" fillId="0" borderId="4" xfId="0" applyFont="1" applyBorder="1" applyAlignment="1" applyProtection="1">
      <alignment vertical="center"/>
    </xf>
    <xf numFmtId="0" fontId="43" fillId="0" borderId="4" xfId="0" applyFont="1" applyBorder="1" applyAlignment="1" applyProtection="1">
      <alignment horizontal="right" vertical="center"/>
    </xf>
    <xf numFmtId="0" fontId="47" fillId="0" borderId="2" xfId="0" applyFont="1" applyFill="1" applyBorder="1" applyAlignment="1" applyProtection="1">
      <alignment vertical="center"/>
    </xf>
    <xf numFmtId="9" fontId="16" fillId="0" borderId="2" xfId="0" applyNumberFormat="1" applyFont="1" applyFill="1" applyBorder="1" applyAlignment="1" applyProtection="1">
      <alignment vertical="center"/>
    </xf>
    <xf numFmtId="0" fontId="85" fillId="0" borderId="8" xfId="0" applyFont="1" applyBorder="1" applyAlignment="1" applyProtection="1">
      <alignment horizontal="center" vertical="center"/>
      <protection locked="0"/>
    </xf>
    <xf numFmtId="172" fontId="7" fillId="0" borderId="43" xfId="0" applyNumberFormat="1" applyFont="1" applyBorder="1" applyAlignment="1" applyProtection="1">
      <alignment vertical="center"/>
    </xf>
    <xf numFmtId="172" fontId="7" fillId="0" borderId="44" xfId="0" applyNumberFormat="1" applyFont="1" applyBorder="1" applyAlignment="1" applyProtection="1">
      <alignment vertical="center"/>
    </xf>
    <xf numFmtId="0" fontId="92" fillId="0" borderId="2" xfId="0" applyFont="1" applyBorder="1" applyAlignment="1" applyProtection="1">
      <alignment horizontal="center" vertical="center"/>
      <protection locked="0"/>
    </xf>
    <xf numFmtId="49" fontId="80" fillId="0" borderId="9" xfId="0" applyNumberFormat="1" applyFont="1" applyBorder="1" applyAlignment="1" applyProtection="1">
      <alignment vertical="center"/>
    </xf>
    <xf numFmtId="49" fontId="55" fillId="0" borderId="76" xfId="0" applyNumberFormat="1" applyFont="1" applyBorder="1" applyAlignment="1" applyProtection="1">
      <alignment vertical="center"/>
    </xf>
    <xf numFmtId="0" fontId="14" fillId="0" borderId="17" xfId="0" applyFont="1" applyBorder="1" applyAlignment="1" applyProtection="1">
      <alignment vertical="center"/>
    </xf>
    <xf numFmtId="0" fontId="17" fillId="0" borderId="17" xfId="0" applyFont="1" applyBorder="1" applyAlignment="1" applyProtection="1">
      <alignment vertical="center"/>
    </xf>
    <xf numFmtId="49" fontId="55" fillId="0" borderId="17" xfId="0" applyNumberFormat="1" applyFont="1" applyBorder="1" applyAlignment="1" applyProtection="1">
      <alignment vertical="center"/>
    </xf>
    <xf numFmtId="0" fontId="17" fillId="0" borderId="17" xfId="0" applyFont="1" applyBorder="1" applyAlignment="1" applyProtection="1">
      <alignment horizontal="right" vertical="center"/>
    </xf>
    <xf numFmtId="0" fontId="17" fillId="0" borderId="30" xfId="0" applyFont="1" applyBorder="1" applyAlignment="1" applyProtection="1">
      <alignment horizontal="right" vertical="center"/>
    </xf>
    <xf numFmtId="0" fontId="14" fillId="0" borderId="77" xfId="0" applyFont="1" applyBorder="1" applyAlignment="1">
      <alignment vertical="center"/>
    </xf>
    <xf numFmtId="0" fontId="14" fillId="0" borderId="78" xfId="0" applyFont="1" applyBorder="1" applyAlignment="1">
      <alignment vertical="center"/>
    </xf>
    <xf numFmtId="0" fontId="16" fillId="0" borderId="78" xfId="0" applyFont="1" applyBorder="1" applyAlignment="1">
      <alignment vertical="center"/>
    </xf>
    <xf numFmtId="0" fontId="0" fillId="0" borderId="79" xfId="0" applyBorder="1"/>
    <xf numFmtId="0" fontId="0" fillId="0" borderId="1" xfId="0" applyBorder="1"/>
    <xf numFmtId="0" fontId="7" fillId="0" borderId="1" xfId="0" applyFont="1" applyBorder="1" applyAlignment="1">
      <alignment horizontal="right" vertical="center"/>
    </xf>
    <xf numFmtId="0" fontId="7" fillId="0" borderId="67" xfId="0" applyFont="1" applyBorder="1" applyAlignment="1">
      <alignment horizontal="right" vertical="center"/>
    </xf>
    <xf numFmtId="0" fontId="7" fillId="0" borderId="12" xfId="0" applyFont="1" applyBorder="1" applyAlignment="1">
      <alignment horizontal="right" vertical="center"/>
    </xf>
    <xf numFmtId="170" fontId="4" fillId="0" borderId="0" xfId="0" applyNumberFormat="1" applyFont="1"/>
    <xf numFmtId="0" fontId="4" fillId="0" borderId="0" xfId="0" applyFont="1"/>
    <xf numFmtId="0" fontId="84" fillId="0" borderId="0" xfId="0" applyFont="1" applyBorder="1" applyAlignment="1" applyProtection="1">
      <alignment horizontal="center" vertical="center"/>
      <protection locked="0"/>
    </xf>
    <xf numFmtId="0" fontId="78" fillId="0" borderId="9" xfId="0" applyFont="1" applyBorder="1" applyAlignment="1" applyProtection="1">
      <alignment horizontal="left" vertical="center"/>
    </xf>
    <xf numFmtId="0" fontId="71" fillId="0" borderId="9" xfId="0" applyFont="1" applyBorder="1" applyAlignment="1" applyProtection="1">
      <alignment horizontal="left" vertical="center"/>
    </xf>
    <xf numFmtId="0" fontId="15" fillId="0" borderId="9" xfId="0" applyFont="1" applyBorder="1" applyAlignment="1" applyProtection="1">
      <alignment horizontal="left" vertical="center"/>
    </xf>
    <xf numFmtId="0" fontId="14" fillId="0" borderId="9" xfId="0" applyFont="1" applyBorder="1" applyAlignment="1" applyProtection="1">
      <alignment horizontal="left" vertical="center"/>
    </xf>
    <xf numFmtId="0" fontId="63" fillId="0" borderId="9" xfId="0" applyFont="1" applyBorder="1" applyAlignment="1" applyProtection="1">
      <alignment horizontal="left" vertical="center"/>
    </xf>
    <xf numFmtId="0" fontId="70" fillId="0" borderId="0" xfId="0" applyFont="1" applyBorder="1" applyAlignment="1" applyProtection="1">
      <alignment horizontal="left" vertical="center"/>
    </xf>
    <xf numFmtId="0" fontId="67" fillId="0" borderId="0" xfId="0" applyFont="1" applyBorder="1" applyAlignment="1" applyProtection="1">
      <alignment horizontal="left" vertical="center"/>
    </xf>
    <xf numFmtId="0" fontId="95" fillId="0" borderId="0" xfId="0" applyFont="1" applyBorder="1" applyAlignment="1" applyProtection="1">
      <alignment horizontal="left" vertical="center"/>
    </xf>
    <xf numFmtId="0" fontId="96" fillId="0" borderId="81" xfId="0" applyFont="1" applyBorder="1" applyAlignment="1" applyProtection="1">
      <alignment horizontal="center" vertical="center"/>
    </xf>
    <xf numFmtId="49" fontId="17" fillId="0" borderId="11" xfId="0" applyNumberFormat="1" applyFont="1" applyFill="1" applyBorder="1" applyAlignment="1" applyProtection="1">
      <alignment vertical="center"/>
      <protection locked="0"/>
    </xf>
    <xf numFmtId="0" fontId="84" fillId="0" borderId="82" xfId="0" applyFont="1" applyBorder="1" applyAlignment="1" applyProtection="1">
      <alignment horizontal="center" vertical="center" wrapText="1"/>
    </xf>
    <xf numFmtId="0" fontId="14" fillId="0" borderId="83" xfId="0" applyFont="1" applyBorder="1" applyAlignment="1" applyProtection="1">
      <alignment vertical="center"/>
    </xf>
    <xf numFmtId="49" fontId="14" fillId="0" borderId="0" xfId="0" applyNumberFormat="1" applyFont="1" applyBorder="1" applyAlignment="1">
      <alignment vertical="center"/>
    </xf>
    <xf numFmtId="0" fontId="4" fillId="0" borderId="85" xfId="0" applyFont="1" applyBorder="1" applyAlignment="1" applyProtection="1">
      <alignment vertical="center"/>
    </xf>
    <xf numFmtId="0" fontId="4" fillId="0" borderId="86" xfId="0" applyFont="1" applyBorder="1" applyAlignment="1" applyProtection="1">
      <alignment vertical="center"/>
    </xf>
    <xf numFmtId="0" fontId="35" fillId="0" borderId="5" xfId="0" applyFont="1" applyBorder="1" applyAlignment="1" applyProtection="1">
      <alignment horizontal="center" vertical="center"/>
    </xf>
    <xf numFmtId="0" fontId="16" fillId="0" borderId="0" xfId="0" applyFont="1" applyBorder="1" applyAlignment="1" applyProtection="1">
      <alignment horizontal="right" vertical="center"/>
    </xf>
    <xf numFmtId="0" fontId="14" fillId="0" borderId="9" xfId="0" applyFont="1" applyBorder="1" applyAlignment="1" applyProtection="1">
      <alignment vertical="center"/>
    </xf>
    <xf numFmtId="49" fontId="55" fillId="0" borderId="52" xfId="0" applyNumberFormat="1" applyFont="1" applyBorder="1" applyAlignment="1" applyProtection="1">
      <alignment vertical="center"/>
    </xf>
    <xf numFmtId="0" fontId="17" fillId="0" borderId="6" xfId="0" applyFont="1" applyBorder="1" applyAlignment="1" applyProtection="1">
      <alignment horizontal="center" vertical="center"/>
    </xf>
    <xf numFmtId="0" fontId="17" fillId="0" borderId="0" xfId="0" applyFont="1" applyBorder="1" applyAlignment="1" applyProtection="1">
      <alignment horizontal="center" vertical="center"/>
    </xf>
    <xf numFmtId="0" fontId="37" fillId="0" borderId="13" xfId="0" applyFont="1" applyBorder="1" applyAlignment="1" applyProtection="1">
      <alignment horizontal="center" vertical="center"/>
    </xf>
    <xf numFmtId="0" fontId="43" fillId="0" borderId="58" xfId="0" applyFont="1" applyFill="1" applyBorder="1" applyAlignment="1" applyProtection="1">
      <alignment horizontal="left" vertical="center"/>
    </xf>
    <xf numFmtId="0" fontId="17" fillId="0" borderId="7" xfId="0" applyFont="1" applyBorder="1" applyAlignment="1" applyProtection="1">
      <alignment horizontal="right" vertical="center"/>
    </xf>
    <xf numFmtId="0" fontId="16" fillId="0" borderId="9" xfId="0" applyFont="1" applyBorder="1" applyAlignment="1">
      <alignment horizontal="right" vertical="center"/>
    </xf>
    <xf numFmtId="0" fontId="14" fillId="0" borderId="87" xfId="0" applyFont="1" applyBorder="1" applyAlignment="1">
      <alignment vertical="center"/>
    </xf>
    <xf numFmtId="0" fontId="14" fillId="0" borderId="53" xfId="0" applyFont="1" applyBorder="1" applyAlignment="1">
      <alignment vertical="center"/>
    </xf>
    <xf numFmtId="0" fontId="16" fillId="0" borderId="11" xfId="0" applyFont="1" applyFill="1" applyBorder="1" applyAlignment="1" applyProtection="1">
      <alignment horizontal="right" vertical="center"/>
    </xf>
    <xf numFmtId="0" fontId="4" fillId="0" borderId="11" xfId="0" applyFont="1" applyFill="1" applyBorder="1" applyAlignment="1" applyProtection="1">
      <alignment horizontal="right" vertical="center"/>
    </xf>
    <xf numFmtId="170" fontId="7" fillId="4" borderId="57" xfId="0" applyNumberFormat="1" applyFont="1" applyFill="1" applyBorder="1" applyAlignment="1" applyProtection="1">
      <alignment horizontal="right" vertical="center"/>
    </xf>
    <xf numFmtId="0" fontId="92" fillId="0" borderId="8" xfId="0" applyFont="1" applyBorder="1" applyAlignment="1" applyProtection="1">
      <alignment horizontal="center" vertical="center"/>
    </xf>
    <xf numFmtId="0" fontId="84" fillId="0" borderId="9" xfId="0" applyFont="1" applyBorder="1" applyAlignment="1" applyProtection="1">
      <alignment horizontal="center" vertical="center"/>
    </xf>
    <xf numFmtId="0" fontId="92" fillId="0" borderId="2" xfId="0" applyFont="1" applyBorder="1" applyAlignment="1" applyProtection="1">
      <alignment horizontal="center" vertical="center"/>
    </xf>
    <xf numFmtId="0" fontId="84" fillId="0" borderId="0" xfId="0" applyFont="1" applyBorder="1" applyAlignment="1" applyProtection="1">
      <alignment horizontal="center" vertical="center"/>
    </xf>
    <xf numFmtId="0" fontId="14" fillId="0" borderId="18" xfId="0" applyFont="1" applyBorder="1" applyAlignment="1" applyProtection="1">
      <alignment vertical="center"/>
    </xf>
    <xf numFmtId="0" fontId="94" fillId="0" borderId="0" xfId="13" applyFont="1" applyFill="1" applyBorder="1" applyAlignment="1" applyProtection="1">
      <alignment vertical="center"/>
    </xf>
    <xf numFmtId="0" fontId="94" fillId="0" borderId="13" xfId="13" applyFont="1" applyFill="1" applyBorder="1" applyAlignment="1" applyProtection="1">
      <alignment vertical="center"/>
    </xf>
    <xf numFmtId="173" fontId="102" fillId="0" borderId="2" xfId="13" applyNumberFormat="1" applyFont="1" applyFill="1" applyBorder="1" applyAlignment="1" applyProtection="1">
      <alignment vertical="center"/>
    </xf>
    <xf numFmtId="0" fontId="15" fillId="0" borderId="0" xfId="0" applyFont="1" applyBorder="1" applyAlignment="1" applyProtection="1">
      <alignment horizontal="right" vertical="center"/>
    </xf>
    <xf numFmtId="0" fontId="14" fillId="0" borderId="13" xfId="0" applyFont="1" applyBorder="1" applyAlignment="1" applyProtection="1">
      <alignment vertical="center"/>
    </xf>
    <xf numFmtId="0" fontId="101" fillId="0" borderId="0" xfId="13" applyFont="1" applyFill="1" applyBorder="1" applyAlignment="1" applyProtection="1">
      <alignment horizontal="right" vertical="center"/>
    </xf>
    <xf numFmtId="0" fontId="93" fillId="0" borderId="34" xfId="0" applyFont="1" applyFill="1" applyBorder="1" applyAlignment="1" applyProtection="1">
      <alignment horizontal="center" vertical="center" wrapText="1"/>
    </xf>
    <xf numFmtId="0" fontId="93" fillId="0" borderId="13" xfId="13" applyFont="1" applyFill="1" applyBorder="1" applyAlignment="1" applyProtection="1">
      <alignment vertical="center"/>
    </xf>
    <xf numFmtId="0" fontId="15" fillId="0" borderId="13" xfId="0" applyFont="1" applyBorder="1" applyAlignment="1" applyProtection="1">
      <alignment horizontal="right" vertical="center"/>
    </xf>
    <xf numFmtId="0" fontId="6" fillId="0" borderId="38"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9" fillId="0" borderId="42" xfId="0" applyFont="1" applyFill="1" applyBorder="1" applyAlignment="1" applyProtection="1">
      <alignment horizontal="center" vertical="center" wrapText="1"/>
    </xf>
    <xf numFmtId="49" fontId="5" fillId="0" borderId="38" xfId="0" applyNumberFormat="1" applyFont="1" applyFill="1" applyBorder="1" applyAlignment="1" applyProtection="1">
      <alignment horizontal="center" vertical="center"/>
    </xf>
    <xf numFmtId="0" fontId="16" fillId="0" borderId="89" xfId="0" applyFont="1" applyBorder="1" applyAlignment="1" applyProtection="1">
      <alignment horizontal="right" vertical="center"/>
    </xf>
    <xf numFmtId="0" fontId="16" fillId="0" borderId="90" xfId="0" applyFont="1" applyFill="1" applyBorder="1" applyAlignment="1" applyProtection="1">
      <alignment horizontal="right" vertical="center"/>
    </xf>
    <xf numFmtId="0" fontId="16" fillId="0" borderId="91" xfId="0" applyFont="1" applyFill="1" applyBorder="1" applyAlignment="1" applyProtection="1">
      <alignment horizontal="right" vertical="center"/>
    </xf>
    <xf numFmtId="0" fontId="16" fillId="0" borderId="92" xfId="0" applyFont="1" applyFill="1" applyBorder="1" applyAlignment="1" applyProtection="1">
      <alignment horizontal="right" vertical="center"/>
    </xf>
    <xf numFmtId="0" fontId="16" fillId="0" borderId="92" xfId="0" applyFont="1" applyBorder="1" applyAlignment="1" applyProtection="1">
      <alignment horizontal="right" vertical="center"/>
    </xf>
    <xf numFmtId="0" fontId="16" fillId="0" borderId="91" xfId="0" applyFont="1" applyBorder="1" applyAlignment="1" applyProtection="1">
      <alignment horizontal="right" vertical="center"/>
    </xf>
    <xf numFmtId="0" fontId="16" fillId="0" borderId="93" xfId="0" applyFont="1" applyBorder="1" applyAlignment="1" applyProtection="1">
      <alignment horizontal="right" vertical="center"/>
    </xf>
    <xf numFmtId="0" fontId="16" fillId="0" borderId="94" xfId="0" applyFont="1" applyFill="1" applyBorder="1" applyAlignment="1" applyProtection="1">
      <alignment horizontal="right" vertical="center"/>
    </xf>
    <xf numFmtId="0" fontId="16" fillId="0" borderId="95" xfId="0" applyFont="1" applyFill="1" applyBorder="1" applyAlignment="1" applyProtection="1">
      <alignment horizontal="right" vertical="center"/>
    </xf>
    <xf numFmtId="0" fontId="16" fillId="0" borderId="96" xfId="0" applyFont="1" applyFill="1" applyBorder="1" applyAlignment="1" applyProtection="1">
      <alignment horizontal="right" vertical="center"/>
    </xf>
    <xf numFmtId="0" fontId="16" fillId="0" borderId="93" xfId="0" applyFont="1" applyFill="1" applyBorder="1" applyAlignment="1" applyProtection="1">
      <alignment horizontal="right" vertical="center"/>
    </xf>
    <xf numFmtId="1" fontId="76" fillId="0" borderId="14" xfId="0" applyNumberFormat="1" applyFont="1" applyFill="1" applyBorder="1" applyAlignment="1" applyProtection="1">
      <alignment horizontal="left" vertical="center"/>
    </xf>
    <xf numFmtId="0" fontId="16" fillId="0" borderId="97" xfId="0" applyFont="1" applyFill="1" applyBorder="1" applyAlignment="1" applyProtection="1">
      <alignment horizontal="right" vertical="center"/>
    </xf>
    <xf numFmtId="0" fontId="16" fillId="0" borderId="98" xfId="0" applyFont="1" applyFill="1" applyBorder="1" applyAlignment="1" applyProtection="1">
      <alignment horizontal="right" vertical="center"/>
    </xf>
    <xf numFmtId="0" fontId="4" fillId="0" borderId="91" xfId="0" applyFont="1" applyFill="1" applyBorder="1" applyAlignment="1" applyProtection="1">
      <alignment horizontal="right" vertical="center"/>
    </xf>
    <xf numFmtId="0" fontId="14" fillId="0" borderId="21" xfId="0" applyFont="1" applyFill="1" applyBorder="1" applyAlignment="1" applyProtection="1">
      <alignment horizontal="right" vertical="center"/>
    </xf>
    <xf numFmtId="0" fontId="25" fillId="0" borderId="99" xfId="0" applyFont="1" applyFill="1" applyBorder="1" applyAlignment="1" applyProtection="1">
      <alignment horizontal="right" vertical="center"/>
    </xf>
    <xf numFmtId="0" fontId="16" fillId="0" borderId="100" xfId="0" applyFont="1" applyFill="1" applyBorder="1" applyAlignment="1" applyProtection="1">
      <alignment horizontal="right" vertical="center"/>
    </xf>
    <xf numFmtId="0" fontId="16" fillId="0" borderId="100" xfId="0" applyFont="1" applyFill="1" applyBorder="1" applyAlignment="1" applyProtection="1">
      <alignment horizontal="right" vertical="center" wrapText="1"/>
    </xf>
    <xf numFmtId="0" fontId="16" fillId="0" borderId="100" xfId="0" applyFont="1" applyBorder="1" applyAlignment="1" applyProtection="1">
      <alignment horizontal="right" vertical="center"/>
    </xf>
    <xf numFmtId="0" fontId="16" fillId="0" borderId="101" xfId="0" applyFont="1" applyBorder="1" applyAlignment="1" applyProtection="1">
      <alignment horizontal="right" vertical="center"/>
    </xf>
    <xf numFmtId="0" fontId="16" fillId="0" borderId="102" xfId="0" applyFont="1" applyBorder="1" applyAlignment="1" applyProtection="1">
      <alignment horizontal="right" vertical="center"/>
    </xf>
    <xf numFmtId="0" fontId="16" fillId="0" borderId="103" xfId="0" applyFont="1" applyBorder="1" applyAlignment="1" applyProtection="1">
      <alignment horizontal="right" vertical="center"/>
    </xf>
    <xf numFmtId="0" fontId="16" fillId="0" borderId="104" xfId="0" applyFont="1" applyBorder="1" applyAlignment="1" applyProtection="1">
      <alignment horizontal="right" vertical="center"/>
    </xf>
    <xf numFmtId="0" fontId="103" fillId="0" borderId="24" xfId="0" applyFont="1" applyFill="1" applyBorder="1" applyAlignment="1" applyProtection="1">
      <alignment horizontal="center" vertical="center"/>
    </xf>
    <xf numFmtId="0" fontId="33" fillId="0" borderId="11" xfId="0" applyFont="1" applyBorder="1" applyAlignment="1">
      <alignment horizontal="left" vertical="center"/>
    </xf>
    <xf numFmtId="0" fontId="16" fillId="0" borderId="105" xfId="0" applyFont="1" applyBorder="1" applyAlignment="1" applyProtection="1">
      <alignment horizontal="right" vertical="center"/>
    </xf>
    <xf numFmtId="0" fontId="16" fillId="0" borderId="106" xfId="0" applyFont="1" applyFill="1" applyBorder="1" applyAlignment="1" applyProtection="1">
      <alignment horizontal="right" vertical="center"/>
    </xf>
    <xf numFmtId="0" fontId="16" fillId="0" borderId="107" xfId="0" applyFont="1" applyFill="1" applyBorder="1" applyAlignment="1" applyProtection="1">
      <alignment horizontal="right" vertical="center"/>
    </xf>
    <xf numFmtId="0" fontId="7" fillId="4" borderId="108" xfId="0" applyFont="1" applyFill="1" applyBorder="1" applyAlignment="1" applyProtection="1">
      <alignment horizontal="center" vertical="center" wrapText="1"/>
    </xf>
    <xf numFmtId="0" fontId="85" fillId="0" borderId="9" xfId="0" applyFont="1" applyBorder="1" applyAlignment="1" applyProtection="1">
      <alignment horizontal="center" vertical="center"/>
      <protection locked="0"/>
    </xf>
    <xf numFmtId="0" fontId="85" fillId="0" borderId="0" xfId="0" applyFont="1" applyBorder="1" applyAlignment="1" applyProtection="1">
      <alignment horizontal="center" vertical="center"/>
      <protection locked="0"/>
    </xf>
    <xf numFmtId="0" fontId="98" fillId="0" borderId="2" xfId="0" applyFont="1" applyBorder="1" applyAlignment="1">
      <alignment horizontal="center" vertical="center"/>
    </xf>
    <xf numFmtId="0" fontId="98" fillId="0" borderId="0" xfId="0" applyFont="1" applyBorder="1" applyAlignment="1">
      <alignment horizontal="center" vertical="center"/>
    </xf>
    <xf numFmtId="0" fontId="14" fillId="0" borderId="0" xfId="0" applyFont="1" applyBorder="1" applyAlignment="1">
      <alignment horizontal="left" vertical="center"/>
    </xf>
    <xf numFmtId="49" fontId="55" fillId="0" borderId="114" xfId="0" applyNumberFormat="1" applyFont="1" applyBorder="1" applyAlignment="1" applyProtection="1">
      <alignment horizontal="left" vertical="center"/>
    </xf>
    <xf numFmtId="49" fontId="55" fillId="0" borderId="75" xfId="0" applyNumberFormat="1" applyFont="1" applyBorder="1" applyAlignment="1" applyProtection="1">
      <alignment horizontal="left" vertical="center"/>
    </xf>
    <xf numFmtId="176" fontId="55" fillId="0" borderId="24" xfId="0" applyNumberFormat="1" applyFont="1" applyBorder="1" applyAlignment="1" applyProtection="1">
      <alignment horizontal="center" vertical="center"/>
    </xf>
    <xf numFmtId="9" fontId="104" fillId="0" borderId="108" xfId="0" applyNumberFormat="1" applyFont="1" applyFill="1" applyBorder="1" applyAlignment="1" applyProtection="1">
      <alignment horizontal="center" vertical="center"/>
    </xf>
    <xf numFmtId="0" fontId="27" fillId="0" borderId="60" xfId="0" applyFont="1" applyFill="1" applyBorder="1" applyAlignment="1" applyProtection="1">
      <alignment horizontal="center" vertical="center"/>
    </xf>
    <xf numFmtId="0" fontId="67" fillId="0" borderId="0" xfId="0" applyFont="1" applyBorder="1" applyAlignment="1" applyProtection="1">
      <alignment horizontal="right" vertical="center"/>
    </xf>
    <xf numFmtId="0" fontId="63" fillId="0" borderId="9" xfId="0" applyFont="1" applyBorder="1" applyAlignment="1" applyProtection="1">
      <alignment horizontal="center" vertical="center"/>
    </xf>
    <xf numFmtId="0" fontId="89" fillId="0" borderId="0" xfId="0" applyFont="1" applyBorder="1" applyAlignment="1">
      <alignment horizontal="left" vertical="center"/>
    </xf>
    <xf numFmtId="49" fontId="16" fillId="0" borderId="0" xfId="0" applyNumberFormat="1" applyFont="1" applyFill="1" applyBorder="1" applyAlignment="1" applyProtection="1">
      <alignment horizontal="right" vertical="center"/>
    </xf>
    <xf numFmtId="49" fontId="16" fillId="0" borderId="84" xfId="0" applyNumberFormat="1" applyFont="1" applyBorder="1" applyAlignment="1">
      <alignment horizontal="right" vertical="center"/>
    </xf>
    <xf numFmtId="1" fontId="107" fillId="7" borderId="19" xfId="0" applyNumberFormat="1" applyFont="1" applyFill="1" applyBorder="1" applyAlignment="1" applyProtection="1">
      <alignment horizontal="center" vertical="center"/>
      <protection locked="0"/>
    </xf>
    <xf numFmtId="49" fontId="17" fillId="0" borderId="44" xfId="0" applyNumberFormat="1" applyFont="1" applyBorder="1" applyAlignment="1" applyProtection="1">
      <alignment horizontal="center" vertical="center"/>
    </xf>
    <xf numFmtId="0" fontId="17" fillId="0" borderId="9" xfId="0" applyFont="1" applyBorder="1" applyAlignment="1" applyProtection="1">
      <alignment horizontal="right" vertical="center"/>
    </xf>
    <xf numFmtId="0" fontId="7" fillId="4" borderId="108" xfId="0" applyFont="1" applyFill="1" applyBorder="1" applyAlignment="1" applyProtection="1">
      <alignment horizontal="center" vertical="top" wrapText="1"/>
    </xf>
    <xf numFmtId="172" fontId="7" fillId="8" borderId="115" xfId="0" applyNumberFormat="1" applyFont="1" applyFill="1" applyBorder="1" applyAlignment="1" applyProtection="1">
      <alignment horizontal="center" vertical="center" wrapText="1"/>
    </xf>
    <xf numFmtId="174" fontId="14" fillId="0" borderId="11" xfId="0" applyNumberFormat="1" applyFont="1" applyBorder="1" applyAlignment="1">
      <alignment horizontal="left" vertical="center"/>
    </xf>
    <xf numFmtId="0" fontId="84" fillId="0" borderId="0" xfId="0" applyFont="1" applyBorder="1" applyAlignment="1">
      <alignment vertical="center"/>
    </xf>
    <xf numFmtId="0" fontId="17" fillId="4" borderId="108" xfId="0" applyFont="1" applyFill="1" applyBorder="1" applyAlignment="1" applyProtection="1">
      <alignment horizontal="center" vertical="top" wrapText="1"/>
    </xf>
    <xf numFmtId="0" fontId="17" fillId="8" borderId="116" xfId="0" applyFont="1" applyFill="1" applyBorder="1" applyAlignment="1" applyProtection="1">
      <alignment horizontal="center" vertical="top" wrapText="1"/>
    </xf>
    <xf numFmtId="172" fontId="7" fillId="8" borderId="74" xfId="0" applyNumberFormat="1" applyFont="1" applyFill="1" applyBorder="1" applyAlignment="1" applyProtection="1">
      <alignment horizontal="center" vertical="top" wrapText="1"/>
    </xf>
    <xf numFmtId="0" fontId="46" fillId="0" borderId="13" xfId="13" applyFont="1" applyFill="1" applyBorder="1" applyAlignment="1" applyProtection="1">
      <alignment horizontal="left" vertical="center"/>
    </xf>
    <xf numFmtId="49" fontId="16" fillId="0" borderId="13" xfId="0" applyNumberFormat="1" applyFont="1" applyBorder="1" applyAlignment="1" applyProtection="1">
      <alignment vertical="center"/>
    </xf>
    <xf numFmtId="178" fontId="68" fillId="0" borderId="19" xfId="0" applyNumberFormat="1" applyFont="1" applyBorder="1" applyAlignment="1" applyProtection="1">
      <alignment horizontal="left" vertical="center"/>
    </xf>
    <xf numFmtId="0" fontId="14" fillId="0" borderId="0" xfId="0" applyFont="1" applyBorder="1" applyAlignment="1">
      <alignment vertical="center" wrapText="1"/>
    </xf>
    <xf numFmtId="49" fontId="33" fillId="0" borderId="0" xfId="0" applyNumberFormat="1" applyFont="1" applyBorder="1" applyAlignment="1" applyProtection="1">
      <alignment vertical="center"/>
    </xf>
    <xf numFmtId="0" fontId="33" fillId="0" borderId="0" xfId="0" applyFont="1" applyBorder="1" applyAlignment="1" applyProtection="1">
      <alignment vertical="center"/>
    </xf>
    <xf numFmtId="0" fontId="33" fillId="0" borderId="11" xfId="0" applyFont="1" applyBorder="1" applyAlignment="1" applyProtection="1">
      <alignment vertical="center"/>
    </xf>
    <xf numFmtId="174" fontId="14" fillId="0" borderId="0" xfId="0" applyNumberFormat="1" applyFont="1" applyBorder="1" applyAlignment="1" applyProtection="1">
      <alignment horizontal="left" vertical="center"/>
    </xf>
    <xf numFmtId="0" fontId="29" fillId="0" borderId="0" xfId="0" applyNumberFormat="1" applyFont="1" applyBorder="1" applyAlignment="1" applyProtection="1">
      <alignment horizontal="left" vertical="center"/>
    </xf>
    <xf numFmtId="0" fontId="99" fillId="4" borderId="14" xfId="0" applyFont="1" applyFill="1" applyBorder="1" applyAlignment="1" applyProtection="1">
      <alignment horizontal="center" vertical="top"/>
    </xf>
    <xf numFmtId="176" fontId="64" fillId="2" borderId="14" xfId="0" applyNumberFormat="1" applyFont="1" applyFill="1" applyBorder="1" applyAlignment="1" applyProtection="1">
      <alignment horizontal="right"/>
    </xf>
    <xf numFmtId="15" fontId="64" fillId="0" borderId="88" xfId="0" applyNumberFormat="1" applyFont="1" applyBorder="1" applyAlignment="1" applyProtection="1">
      <alignment horizontal="right"/>
    </xf>
    <xf numFmtId="0" fontId="36" fillId="0" borderId="42" xfId="0" applyFont="1" applyBorder="1" applyAlignment="1">
      <alignment vertical="center"/>
    </xf>
    <xf numFmtId="0" fontId="0" fillId="0" borderId="2" xfId="0" applyBorder="1"/>
    <xf numFmtId="0" fontId="7" fillId="0" borderId="0" xfId="0" applyFont="1" applyBorder="1" applyAlignment="1" applyProtection="1">
      <alignment horizontal="right" vertical="center"/>
    </xf>
    <xf numFmtId="49" fontId="33" fillId="0" borderId="0" xfId="0" quotePrefix="1" applyNumberFormat="1" applyFont="1" applyFill="1" applyBorder="1" applyAlignment="1" applyProtection="1">
      <alignment horizontal="left" vertical="center" wrapText="1"/>
    </xf>
    <xf numFmtId="15" fontId="64" fillId="0" borderId="11" xfId="0" applyNumberFormat="1" applyFont="1" applyBorder="1" applyAlignment="1" applyProtection="1">
      <alignment horizontal="left" vertical="center"/>
    </xf>
    <xf numFmtId="174" fontId="31" fillId="0" borderId="42" xfId="0" applyNumberFormat="1" applyFont="1" applyBorder="1" applyAlignment="1" applyProtection="1">
      <alignment horizontal="left" vertical="center"/>
    </xf>
    <xf numFmtId="0" fontId="14" fillId="0" borderId="10" xfId="0" applyFont="1" applyBorder="1" applyAlignment="1" applyProtection="1">
      <alignment vertical="center"/>
    </xf>
    <xf numFmtId="49" fontId="5" fillId="0" borderId="7" xfId="0" applyNumberFormat="1" applyFont="1" applyFill="1" applyBorder="1" applyAlignment="1" applyProtection="1">
      <alignment horizontal="center" vertical="center"/>
    </xf>
    <xf numFmtId="0" fontId="90" fillId="0" borderId="8" xfId="0" applyFont="1" applyBorder="1" applyAlignment="1" applyProtection="1">
      <alignment vertical="center"/>
    </xf>
    <xf numFmtId="0" fontId="82" fillId="0" borderId="2" xfId="0" applyFont="1" applyBorder="1" applyAlignment="1" applyProtection="1">
      <alignment vertical="center"/>
    </xf>
    <xf numFmtId="0" fontId="14" fillId="0" borderId="109" xfId="0" applyFont="1" applyBorder="1" applyAlignment="1" applyProtection="1">
      <alignment horizontal="right" vertical="center"/>
    </xf>
    <xf numFmtId="49" fontId="17" fillId="9" borderId="118" xfId="0" applyNumberFormat="1" applyFont="1" applyFill="1" applyBorder="1" applyAlignment="1" applyProtection="1">
      <alignment horizontal="left" vertical="center"/>
    </xf>
    <xf numFmtId="0" fontId="14" fillId="0" borderId="87" xfId="0" applyFont="1" applyBorder="1" applyAlignment="1" applyProtection="1">
      <alignment vertical="center"/>
    </xf>
    <xf numFmtId="0" fontId="16" fillId="0" borderId="9" xfId="0" applyFont="1" applyBorder="1" applyAlignment="1" applyProtection="1">
      <alignment horizontal="right" vertical="center"/>
    </xf>
    <xf numFmtId="0" fontId="14" fillId="0" borderId="102" xfId="0" applyFont="1" applyBorder="1" applyAlignment="1" applyProtection="1">
      <alignment horizontal="right" vertical="center"/>
    </xf>
    <xf numFmtId="177" fontId="17" fillId="3" borderId="19" xfId="0" applyNumberFormat="1" applyFont="1" applyFill="1" applyBorder="1" applyAlignment="1" applyProtection="1">
      <alignment horizontal="left" vertical="center"/>
    </xf>
    <xf numFmtId="0" fontId="14" fillId="0" borderId="53" xfId="0" applyFont="1" applyBorder="1" applyAlignment="1" applyProtection="1">
      <alignment vertical="center"/>
    </xf>
    <xf numFmtId="49" fontId="17" fillId="3" borderId="19" xfId="0" applyNumberFormat="1" applyFont="1" applyFill="1" applyBorder="1" applyAlignment="1" applyProtection="1">
      <alignment vertical="center"/>
    </xf>
    <xf numFmtId="49" fontId="14" fillId="0" borderId="11" xfId="0" applyNumberFormat="1" applyFont="1" applyBorder="1" applyAlignment="1" applyProtection="1">
      <alignment vertical="center"/>
    </xf>
    <xf numFmtId="178" fontId="17" fillId="3" borderId="19" xfId="0" applyNumberFormat="1" applyFont="1" applyFill="1" applyBorder="1" applyAlignment="1" applyProtection="1">
      <alignment horizontal="left" vertical="center"/>
    </xf>
    <xf numFmtId="49" fontId="17" fillId="3" borderId="24" xfId="0" applyNumberFormat="1" applyFont="1" applyFill="1" applyBorder="1" applyAlignment="1" applyProtection="1">
      <alignment horizontal="left" vertical="center"/>
    </xf>
    <xf numFmtId="49" fontId="16" fillId="0" borderId="11" xfId="0" applyNumberFormat="1" applyFont="1" applyFill="1" applyBorder="1" applyAlignment="1" applyProtection="1">
      <alignment vertical="center"/>
    </xf>
    <xf numFmtId="0" fontId="25" fillId="3" borderId="30" xfId="0" applyFont="1" applyFill="1" applyBorder="1" applyAlignment="1" applyProtection="1">
      <alignment horizontal="center" vertical="center"/>
    </xf>
    <xf numFmtId="0" fontId="14" fillId="0" borderId="110" xfId="0" applyFont="1" applyBorder="1" applyAlignment="1" applyProtection="1">
      <alignment horizontal="right" vertical="center"/>
    </xf>
    <xf numFmtId="0" fontId="14" fillId="0" borderId="111" xfId="0" applyFont="1" applyBorder="1" applyAlignment="1" applyProtection="1">
      <alignment horizontal="right" vertical="center"/>
    </xf>
    <xf numFmtId="49" fontId="17" fillId="3" borderId="114" xfId="0" applyNumberFormat="1" applyFont="1" applyFill="1" applyBorder="1" applyAlignment="1" applyProtection="1">
      <alignment horizontal="left" vertical="center"/>
    </xf>
    <xf numFmtId="49" fontId="17" fillId="3" borderId="42" xfId="0" applyNumberFormat="1" applyFont="1" applyFill="1" applyBorder="1" applyAlignment="1" applyProtection="1">
      <alignment horizontal="left" vertical="center"/>
    </xf>
    <xf numFmtId="49" fontId="17" fillId="3" borderId="29" xfId="0" applyNumberFormat="1" applyFont="1" applyFill="1" applyBorder="1" applyAlignment="1" applyProtection="1">
      <alignment vertical="center"/>
    </xf>
    <xf numFmtId="49" fontId="16" fillId="0" borderId="84" xfId="0" applyNumberFormat="1" applyFont="1" applyBorder="1" applyAlignment="1" applyProtection="1">
      <alignment horizontal="right" vertical="center"/>
    </xf>
    <xf numFmtId="49" fontId="17" fillId="3" borderId="84" xfId="0" applyNumberFormat="1" applyFont="1" applyFill="1" applyBorder="1" applyAlignment="1" applyProtection="1">
      <alignment vertical="center"/>
    </xf>
    <xf numFmtId="49" fontId="17" fillId="3" borderId="42" xfId="0" applyNumberFormat="1" applyFont="1" applyFill="1" applyBorder="1" applyAlignment="1" applyProtection="1">
      <alignment vertical="center"/>
    </xf>
    <xf numFmtId="49" fontId="17" fillId="0" borderId="0" xfId="0" applyNumberFormat="1" applyFont="1" applyFill="1" applyBorder="1" applyAlignment="1" applyProtection="1">
      <alignment vertical="center"/>
    </xf>
    <xf numFmtId="49" fontId="17" fillId="0" borderId="11" xfId="0" applyNumberFormat="1" applyFont="1" applyFill="1" applyBorder="1" applyAlignment="1" applyProtection="1">
      <alignment vertical="center"/>
    </xf>
    <xf numFmtId="49" fontId="17" fillId="3" borderId="19" xfId="0" applyNumberFormat="1" applyFont="1" applyFill="1" applyBorder="1" applyAlignment="1" applyProtection="1">
      <alignment horizontal="left" vertical="center"/>
    </xf>
    <xf numFmtId="49" fontId="17" fillId="3" borderId="30" xfId="0" applyNumberFormat="1" applyFont="1" applyFill="1" applyBorder="1" applyAlignment="1" applyProtection="1">
      <alignment horizontal="left" vertical="center"/>
    </xf>
    <xf numFmtId="176" fontId="17" fillId="3" borderId="19" xfId="0" applyNumberFormat="1" applyFont="1" applyFill="1" applyBorder="1" applyAlignment="1" applyProtection="1">
      <alignment horizontal="left" vertical="center"/>
    </xf>
    <xf numFmtId="0" fontId="14" fillId="0" borderId="20" xfId="0" applyFont="1" applyBorder="1" applyAlignment="1" applyProtection="1">
      <alignment horizontal="right" vertical="center"/>
    </xf>
    <xf numFmtId="1" fontId="107" fillId="7" borderId="19" xfId="0" applyNumberFormat="1" applyFont="1" applyFill="1" applyBorder="1" applyAlignment="1" applyProtection="1">
      <alignment horizontal="center" vertical="center"/>
    </xf>
    <xf numFmtId="0" fontId="14" fillId="0" borderId="112" xfId="0" applyFont="1" applyBorder="1" applyAlignment="1" applyProtection="1">
      <alignment horizontal="right" vertical="center"/>
    </xf>
    <xf numFmtId="176" fontId="17" fillId="3" borderId="30" xfId="0" applyNumberFormat="1" applyFont="1" applyFill="1" applyBorder="1" applyAlignment="1" applyProtection="1">
      <alignment horizontal="left" vertical="center"/>
    </xf>
    <xf numFmtId="0" fontId="25" fillId="3" borderId="52" xfId="0" applyFont="1" applyFill="1" applyBorder="1" applyAlignment="1" applyProtection="1">
      <alignment horizontal="center" vertical="center"/>
    </xf>
    <xf numFmtId="0" fontId="14" fillId="0" borderId="113" xfId="0" applyFont="1" applyBorder="1" applyAlignment="1" applyProtection="1">
      <alignment horizontal="right" vertical="center"/>
    </xf>
    <xf numFmtId="0" fontId="25" fillId="3" borderId="119" xfId="0" applyFont="1" applyFill="1" applyBorder="1" applyAlignment="1" applyProtection="1">
      <alignment horizontal="center" vertical="center"/>
    </xf>
    <xf numFmtId="0" fontId="25" fillId="3" borderId="120" xfId="0" applyFont="1" applyFill="1" applyBorder="1" applyAlignment="1" applyProtection="1">
      <alignment horizontal="center" vertical="center"/>
    </xf>
    <xf numFmtId="0" fontId="25" fillId="3" borderId="121" xfId="0" applyFont="1" applyFill="1" applyBorder="1" applyAlignment="1" applyProtection="1">
      <alignment horizontal="center" vertical="center"/>
    </xf>
    <xf numFmtId="0" fontId="25" fillId="3" borderId="15" xfId="0" applyFont="1" applyFill="1" applyBorder="1" applyAlignment="1" applyProtection="1">
      <alignment horizontal="center" vertical="center"/>
    </xf>
    <xf numFmtId="170" fontId="7" fillId="7" borderId="6" xfId="0" applyNumberFormat="1" applyFont="1" applyFill="1" applyBorder="1" applyAlignment="1" applyProtection="1">
      <alignment horizontal="right" vertical="center"/>
    </xf>
    <xf numFmtId="0" fontId="82" fillId="0" borderId="0" xfId="0" applyFont="1"/>
    <xf numFmtId="0" fontId="14" fillId="0" borderId="8" xfId="0" applyFont="1" applyBorder="1" applyAlignment="1" applyProtection="1">
      <alignment vertical="center"/>
    </xf>
    <xf numFmtId="0" fontId="84" fillId="0" borderId="0" xfId="0" applyFont="1" applyBorder="1" applyAlignment="1" applyProtection="1">
      <alignment vertical="center"/>
    </xf>
    <xf numFmtId="0" fontId="0" fillId="0" borderId="0" xfId="0" applyProtection="1"/>
    <xf numFmtId="0" fontId="14" fillId="0" borderId="0" xfId="0" applyFont="1" applyBorder="1" applyAlignment="1" applyProtection="1">
      <alignment horizontal="center" vertical="center"/>
    </xf>
    <xf numFmtId="174" fontId="14" fillId="0" borderId="11" xfId="0" applyNumberFormat="1" applyFont="1" applyBorder="1" applyAlignment="1" applyProtection="1">
      <alignment horizontal="left" vertical="center"/>
    </xf>
    <xf numFmtId="174" fontId="89" fillId="0" borderId="11" xfId="0" applyNumberFormat="1" applyFont="1" applyBorder="1" applyAlignment="1" applyProtection="1">
      <alignment horizontal="right"/>
    </xf>
    <xf numFmtId="0" fontId="0" fillId="0" borderId="2" xfId="0" applyBorder="1" applyProtection="1"/>
    <xf numFmtId="49" fontId="14" fillId="0" borderId="0" xfId="0" applyNumberFormat="1" applyFont="1" applyBorder="1" applyAlignment="1" applyProtection="1">
      <alignment vertical="center"/>
    </xf>
    <xf numFmtId="0" fontId="15" fillId="0" borderId="2" xfId="0" applyFont="1" applyBorder="1" applyAlignment="1" applyProtection="1">
      <alignment horizontal="right" vertical="center"/>
    </xf>
    <xf numFmtId="0" fontId="26" fillId="0" borderId="2" xfId="0" applyFont="1" applyBorder="1" applyAlignment="1" applyProtection="1">
      <alignment horizontal="right" vertical="center"/>
    </xf>
    <xf numFmtId="0" fontId="36" fillId="0" borderId="11" xfId="0" applyFont="1" applyBorder="1" applyAlignment="1" applyProtection="1">
      <alignment vertical="center"/>
    </xf>
    <xf numFmtId="0" fontId="33" fillId="0" borderId="0" xfId="0" applyFont="1" applyBorder="1" applyAlignment="1" applyProtection="1">
      <alignment horizontal="left" vertical="center"/>
    </xf>
    <xf numFmtId="0" fontId="33" fillId="0" borderId="11" xfId="0" applyFont="1" applyBorder="1" applyAlignment="1" applyProtection="1">
      <alignment horizontal="left" vertical="center"/>
    </xf>
    <xf numFmtId="0" fontId="69" fillId="0" borderId="24" xfId="0" applyFont="1" applyFill="1" applyBorder="1" applyAlignment="1" applyProtection="1">
      <alignment horizontal="center" vertical="center"/>
    </xf>
    <xf numFmtId="178" fontId="17" fillId="3" borderId="19" xfId="0" applyNumberFormat="1" applyFont="1" applyFill="1" applyBorder="1" applyAlignment="1" applyProtection="1">
      <alignment horizontal="left" vertical="center"/>
      <protection locked="0"/>
    </xf>
    <xf numFmtId="49" fontId="17" fillId="3" borderId="114" xfId="0" applyNumberFormat="1" applyFont="1" applyFill="1" applyBorder="1" applyAlignment="1" applyProtection="1">
      <alignment horizontal="left" vertical="center"/>
      <protection locked="0"/>
    </xf>
    <xf numFmtId="49" fontId="17" fillId="3" borderId="42" xfId="0" applyNumberFormat="1" applyFont="1" applyFill="1" applyBorder="1" applyAlignment="1" applyProtection="1">
      <alignment horizontal="left" vertical="center"/>
      <protection locked="0"/>
    </xf>
    <xf numFmtId="49" fontId="17" fillId="3" borderId="42" xfId="0" applyNumberFormat="1" applyFont="1" applyFill="1" applyBorder="1" applyAlignment="1" applyProtection="1">
      <alignment vertical="center"/>
      <protection locked="0"/>
    </xf>
    <xf numFmtId="49" fontId="17" fillId="3" borderId="19" xfId="0" applyNumberFormat="1" applyFont="1" applyFill="1" applyBorder="1" applyAlignment="1" applyProtection="1">
      <alignment horizontal="left" vertical="center"/>
      <protection locked="0"/>
    </xf>
    <xf numFmtId="49" fontId="17" fillId="3" borderId="30" xfId="0" applyNumberFormat="1" applyFont="1" applyFill="1" applyBorder="1" applyAlignment="1" applyProtection="1">
      <alignment horizontal="left" vertical="center"/>
      <protection locked="0"/>
    </xf>
    <xf numFmtId="176" fontId="17" fillId="3" borderId="19" xfId="0" applyNumberFormat="1" applyFont="1" applyFill="1" applyBorder="1" applyAlignment="1" applyProtection="1">
      <alignment horizontal="left" vertical="center"/>
      <protection locked="0"/>
    </xf>
    <xf numFmtId="173" fontId="100" fillId="3" borderId="2" xfId="13" applyNumberFormat="1" applyFont="1" applyFill="1" applyBorder="1" applyAlignment="1" applyProtection="1">
      <alignment vertical="center"/>
      <protection locked="0"/>
    </xf>
    <xf numFmtId="173" fontId="100" fillId="3" borderId="0" xfId="13" applyNumberFormat="1" applyFont="1" applyFill="1" applyBorder="1" applyAlignment="1" applyProtection="1">
      <alignment vertical="center"/>
      <protection locked="0"/>
    </xf>
    <xf numFmtId="0" fontId="94" fillId="3" borderId="0" xfId="13" applyFont="1" applyFill="1" applyBorder="1" applyAlignment="1" applyProtection="1">
      <alignment vertical="center"/>
      <protection locked="0"/>
    </xf>
    <xf numFmtId="0" fontId="101" fillId="3" borderId="0" xfId="13" applyFont="1" applyFill="1" applyBorder="1" applyAlignment="1" applyProtection="1">
      <alignment vertical="center"/>
      <protection locked="0"/>
    </xf>
    <xf numFmtId="173" fontId="94" fillId="3" borderId="0" xfId="13" applyNumberFormat="1" applyFont="1" applyFill="1" applyBorder="1" applyAlignment="1" applyProtection="1">
      <alignment vertical="center"/>
      <protection locked="0"/>
    </xf>
    <xf numFmtId="0" fontId="27" fillId="3" borderId="0" xfId="0" applyFont="1" applyFill="1" applyBorder="1" applyAlignment="1" applyProtection="1">
      <alignment horizontal="right" vertical="center"/>
      <protection locked="0"/>
    </xf>
    <xf numFmtId="0" fontId="15"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40" fillId="3" borderId="11" xfId="0" applyNumberFormat="1" applyFont="1" applyFill="1" applyBorder="1" applyAlignment="1" applyProtection="1">
      <alignment vertical="center"/>
      <protection locked="0"/>
    </xf>
    <xf numFmtId="173" fontId="6" fillId="3" borderId="2" xfId="13" applyNumberFormat="1" applyFont="1" applyFill="1" applyBorder="1" applyAlignment="1" applyProtection="1">
      <alignment horizontal="left" vertical="center"/>
      <protection locked="0"/>
    </xf>
    <xf numFmtId="173" fontId="100" fillId="3" borderId="0" xfId="13" applyNumberFormat="1" applyFont="1" applyFill="1" applyBorder="1" applyAlignment="1" applyProtection="1">
      <alignment horizontal="left" vertical="center"/>
      <protection locked="0"/>
    </xf>
    <xf numFmtId="173" fontId="100" fillId="3" borderId="2" xfId="13" applyNumberFormat="1" applyFont="1" applyFill="1" applyBorder="1" applyAlignment="1" applyProtection="1">
      <alignment horizontal="left" vertical="center"/>
      <protection locked="0"/>
    </xf>
    <xf numFmtId="0" fontId="64" fillId="3" borderId="2" xfId="13" applyFont="1" applyFill="1" applyBorder="1" applyAlignment="1" applyProtection="1">
      <alignment vertical="center"/>
      <protection locked="0"/>
    </xf>
    <xf numFmtId="173" fontId="102" fillId="3" borderId="0" xfId="13" applyNumberFormat="1" applyFont="1" applyFill="1" applyBorder="1" applyAlignment="1" applyProtection="1">
      <alignment horizontal="right" vertical="center"/>
      <protection locked="0"/>
    </xf>
    <xf numFmtId="9" fontId="94" fillId="3" borderId="13" xfId="13" applyNumberFormat="1" applyFont="1" applyFill="1" applyBorder="1" applyAlignment="1" applyProtection="1">
      <alignment vertical="center"/>
      <protection locked="0"/>
    </xf>
    <xf numFmtId="0" fontId="94" fillId="3" borderId="13" xfId="13"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39" fontId="94" fillId="3" borderId="0" xfId="13" applyNumberFormat="1" applyFont="1" applyFill="1" applyBorder="1" applyAlignment="1" applyProtection="1">
      <alignment vertical="center"/>
      <protection locked="0"/>
    </xf>
    <xf numFmtId="39" fontId="94" fillId="3" borderId="13" xfId="13" applyNumberFormat="1" applyFont="1" applyFill="1" applyBorder="1" applyAlignment="1" applyProtection="1">
      <alignment vertical="center"/>
      <protection locked="0"/>
    </xf>
    <xf numFmtId="173" fontId="100" fillId="3" borderId="7" xfId="13" applyNumberFormat="1" applyFont="1" applyFill="1" applyBorder="1" applyAlignment="1" applyProtection="1">
      <alignment vertical="center"/>
      <protection locked="0"/>
    </xf>
    <xf numFmtId="173" fontId="6" fillId="3" borderId="6" xfId="13" applyNumberFormat="1" applyFont="1" applyFill="1" applyBorder="1" applyAlignment="1" applyProtection="1">
      <alignment vertical="center"/>
      <protection locked="0"/>
    </xf>
    <xf numFmtId="0" fontId="5" fillId="3" borderId="6" xfId="13" applyFont="1" applyFill="1" applyBorder="1" applyAlignment="1" applyProtection="1">
      <alignment vertical="center"/>
      <protection locked="0"/>
    </xf>
    <xf numFmtId="173" fontId="5" fillId="3" borderId="6" xfId="13" applyNumberFormat="1" applyFont="1" applyFill="1" applyBorder="1" applyAlignment="1" applyProtection="1">
      <alignment vertical="center"/>
      <protection locked="0"/>
    </xf>
    <xf numFmtId="0" fontId="27" fillId="3" borderId="6" xfId="0" applyFont="1" applyFill="1" applyBorder="1" applyAlignment="1" applyProtection="1">
      <alignment horizontal="right" vertical="center"/>
      <protection locked="0"/>
    </xf>
    <xf numFmtId="0" fontId="15" fillId="3" borderId="6"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170" fontId="40" fillId="3" borderId="14" xfId="0" applyNumberFormat="1" applyFont="1" applyFill="1" applyBorder="1" applyAlignment="1" applyProtection="1">
      <alignment vertical="center"/>
      <protection locked="0"/>
    </xf>
    <xf numFmtId="173" fontId="102" fillId="3" borderId="2" xfId="13" applyNumberFormat="1" applyFont="1" applyFill="1" applyBorder="1" applyAlignment="1" applyProtection="1">
      <alignment vertical="center"/>
      <protection locked="0"/>
    </xf>
    <xf numFmtId="0" fontId="48" fillId="3" borderId="0" xfId="0" applyFont="1" applyFill="1" applyBorder="1" applyAlignment="1" applyProtection="1">
      <alignment vertical="center"/>
      <protection locked="0"/>
    </xf>
    <xf numFmtId="173" fontId="94" fillId="3" borderId="11" xfId="13" applyNumberFormat="1" applyFont="1" applyFill="1" applyBorder="1" applyAlignment="1" applyProtection="1">
      <alignment vertical="center"/>
      <protection locked="0"/>
    </xf>
    <xf numFmtId="173" fontId="6" fillId="3" borderId="2" xfId="13" applyNumberFormat="1" applyFont="1" applyFill="1" applyBorder="1" applyAlignment="1" applyProtection="1">
      <alignment horizontal="right" vertical="center"/>
      <protection locked="0"/>
    </xf>
    <xf numFmtId="0" fontId="94" fillId="3" borderId="11" xfId="13" applyFont="1" applyFill="1" applyBorder="1" applyAlignment="1" applyProtection="1">
      <alignment vertical="center"/>
      <protection locked="0"/>
    </xf>
    <xf numFmtId="0" fontId="15" fillId="3" borderId="0" xfId="0" applyFont="1" applyFill="1" applyBorder="1" applyAlignment="1" applyProtection="1">
      <alignment horizontal="center" vertical="center"/>
      <protection locked="0"/>
    </xf>
    <xf numFmtId="0" fontId="15" fillId="3" borderId="0" xfId="0" applyFont="1" applyFill="1" applyBorder="1" applyAlignment="1" applyProtection="1">
      <alignment horizontal="right" vertical="center"/>
      <protection locked="0"/>
    </xf>
    <xf numFmtId="0" fontId="48" fillId="3" borderId="0" xfId="0" applyFont="1" applyFill="1" applyBorder="1" applyAlignment="1" applyProtection="1">
      <alignment horizontal="center" vertical="center"/>
      <protection locked="0"/>
    </xf>
    <xf numFmtId="0" fontId="14" fillId="3" borderId="13" xfId="0" applyFont="1" applyFill="1" applyBorder="1" applyAlignment="1" applyProtection="1">
      <alignment vertical="center"/>
      <protection locked="0"/>
    </xf>
    <xf numFmtId="0" fontId="40" fillId="3" borderId="0" xfId="0" applyFont="1" applyFill="1" applyBorder="1" applyAlignment="1" applyProtection="1">
      <alignment vertical="center"/>
      <protection locked="0"/>
    </xf>
    <xf numFmtId="0" fontId="40" fillId="3" borderId="13" xfId="0" applyFont="1" applyFill="1" applyBorder="1" applyAlignment="1" applyProtection="1">
      <alignment horizontal="right" vertical="center"/>
      <protection locked="0"/>
    </xf>
    <xf numFmtId="39" fontId="94" fillId="3" borderId="11" xfId="13" applyNumberFormat="1" applyFont="1" applyFill="1" applyBorder="1" applyAlignment="1" applyProtection="1">
      <alignment vertical="center"/>
      <protection locked="0"/>
    </xf>
    <xf numFmtId="173" fontId="102" fillId="3" borderId="2" xfId="13" applyNumberFormat="1" applyFont="1" applyFill="1" applyBorder="1" applyAlignment="1" applyProtection="1">
      <alignment horizontal="left" vertical="center"/>
      <protection locked="0"/>
    </xf>
    <xf numFmtId="173" fontId="102" fillId="3" borderId="0" xfId="13" applyNumberFormat="1" applyFont="1" applyFill="1" applyBorder="1" applyAlignment="1" applyProtection="1">
      <alignment horizontal="left" vertical="center"/>
      <protection locked="0"/>
    </xf>
    <xf numFmtId="9" fontId="94" fillId="3" borderId="0" xfId="13" applyNumberFormat="1" applyFont="1" applyFill="1" applyBorder="1" applyAlignment="1" applyProtection="1">
      <alignment vertical="center"/>
      <protection locked="0"/>
    </xf>
    <xf numFmtId="0" fontId="48" fillId="3" borderId="0" xfId="0" applyFont="1" applyFill="1" applyBorder="1" applyAlignment="1" applyProtection="1">
      <alignment horizontal="right" vertical="center"/>
      <protection locked="0"/>
    </xf>
    <xf numFmtId="0" fontId="101" fillId="3" borderId="7" xfId="13" applyFont="1" applyFill="1" applyBorder="1" applyAlignment="1" applyProtection="1">
      <alignment horizontal="right" vertical="center"/>
      <protection locked="0"/>
    </xf>
    <xf numFmtId="0" fontId="7" fillId="4" borderId="122" xfId="0" applyFont="1" applyFill="1" applyBorder="1" applyAlignment="1" applyProtection="1">
      <alignment horizontal="center" vertical="top" wrapText="1"/>
    </xf>
    <xf numFmtId="0" fontId="25" fillId="3" borderId="19" xfId="0" applyFont="1" applyFill="1" applyBorder="1" applyAlignment="1" applyProtection="1">
      <alignment horizontal="center" vertical="center"/>
      <protection locked="0"/>
    </xf>
    <xf numFmtId="0" fontId="25" fillId="3" borderId="73" xfId="0" applyFont="1" applyFill="1" applyBorder="1" applyAlignment="1" applyProtection="1">
      <alignment horizontal="center" vertical="center"/>
      <protection locked="0"/>
    </xf>
    <xf numFmtId="0" fontId="7" fillId="0" borderId="36" xfId="0" applyFont="1" applyBorder="1" applyAlignment="1" applyProtection="1">
      <alignment horizontal="center" wrapText="1"/>
    </xf>
    <xf numFmtId="0" fontId="7" fillId="0" borderId="115" xfId="0" applyFont="1" applyBorder="1" applyAlignment="1" applyProtection="1">
      <alignment horizontal="center" wrapText="1"/>
    </xf>
    <xf numFmtId="0" fontId="7" fillId="0" borderId="99" xfId="0" applyFont="1" applyBorder="1" applyAlignment="1">
      <alignment horizontal="right" vertical="center"/>
    </xf>
    <xf numFmtId="0" fontId="22" fillId="0" borderId="44" xfId="0" applyFont="1" applyBorder="1" applyAlignment="1">
      <alignment horizontal="right" vertical="center"/>
    </xf>
    <xf numFmtId="0" fontId="7" fillId="0" borderId="70" xfId="0" applyFont="1" applyBorder="1" applyAlignment="1">
      <alignment horizontal="right" vertical="center"/>
    </xf>
    <xf numFmtId="0" fontId="101" fillId="3" borderId="34" xfId="13" applyFont="1" applyFill="1" applyBorder="1" applyAlignment="1" applyProtection="1">
      <alignment horizontal="right" vertical="center"/>
      <protection locked="0"/>
    </xf>
    <xf numFmtId="0" fontId="100" fillId="3" borderId="13" xfId="13" applyFont="1" applyFill="1" applyBorder="1" applyAlignment="1" applyProtection="1">
      <alignment horizontal="right" vertical="center"/>
      <protection locked="0"/>
    </xf>
    <xf numFmtId="0" fontId="48" fillId="3" borderId="13" xfId="0" applyFont="1" applyFill="1" applyBorder="1" applyAlignment="1" applyProtection="1">
      <alignment vertical="center"/>
      <protection locked="0"/>
    </xf>
    <xf numFmtId="0" fontId="48" fillId="3" borderId="13" xfId="0" applyFont="1" applyFill="1" applyBorder="1" applyAlignment="1" applyProtection="1">
      <alignment horizontal="right" vertical="center"/>
      <protection locked="0"/>
    </xf>
    <xf numFmtId="0" fontId="94" fillId="3" borderId="88" xfId="13" applyFont="1" applyFill="1" applyBorder="1" applyAlignment="1" applyProtection="1">
      <alignment vertical="center"/>
      <protection locked="0"/>
    </xf>
    <xf numFmtId="0" fontId="6" fillId="3" borderId="2" xfId="13" applyFont="1" applyFill="1" applyBorder="1" applyAlignment="1" applyProtection="1">
      <alignment horizontal="left" vertical="center"/>
      <protection locked="0"/>
    </xf>
    <xf numFmtId="0" fontId="66" fillId="10" borderId="71" xfId="0" applyFont="1" applyFill="1" applyBorder="1" applyAlignment="1" applyProtection="1">
      <alignment vertical="center"/>
    </xf>
    <xf numFmtId="0" fontId="14" fillId="10" borderId="60" xfId="0" applyFont="1" applyFill="1" applyBorder="1" applyAlignment="1" applyProtection="1">
      <alignment vertical="center"/>
    </xf>
    <xf numFmtId="0" fontId="14" fillId="10" borderId="116" xfId="0" applyFont="1" applyFill="1" applyBorder="1" applyAlignment="1" applyProtection="1">
      <alignment vertical="center"/>
    </xf>
    <xf numFmtId="0" fontId="37" fillId="2" borderId="2" xfId="0" applyFont="1" applyFill="1" applyBorder="1" applyAlignment="1" applyProtection="1">
      <alignment horizontal="center" vertical="center"/>
    </xf>
    <xf numFmtId="0" fontId="98" fillId="0" borderId="0" xfId="0" applyFont="1" applyBorder="1" applyAlignment="1" applyProtection="1">
      <alignment horizontal="center" vertical="center"/>
    </xf>
    <xf numFmtId="170" fontId="7" fillId="11" borderId="6" xfId="0" applyNumberFormat="1" applyFont="1" applyFill="1" applyBorder="1" applyAlignment="1" applyProtection="1">
      <alignment horizontal="right" vertical="center"/>
      <protection locked="0"/>
    </xf>
    <xf numFmtId="170" fontId="4" fillId="11" borderId="11" xfId="0" applyNumberFormat="1" applyFont="1" applyFill="1" applyBorder="1" applyAlignment="1" applyProtection="1">
      <alignment horizontal="right" vertical="center"/>
    </xf>
    <xf numFmtId="44" fontId="4" fillId="0" borderId="123" xfId="0" applyNumberFormat="1" applyFont="1" applyBorder="1" applyAlignment="1" applyProtection="1">
      <alignment vertical="center"/>
    </xf>
    <xf numFmtId="44" fontId="4" fillId="0" borderId="124" xfId="0" applyNumberFormat="1" applyFont="1" applyBorder="1" applyAlignment="1" applyProtection="1">
      <alignment vertical="center"/>
    </xf>
    <xf numFmtId="44" fontId="4" fillId="0" borderId="125" xfId="0" applyNumberFormat="1" applyFont="1" applyBorder="1" applyAlignment="1" applyProtection="1">
      <alignment vertical="center"/>
    </xf>
    <xf numFmtId="44" fontId="4" fillId="0" borderId="126" xfId="0" applyNumberFormat="1" applyFont="1" applyBorder="1" applyAlignment="1" applyProtection="1">
      <alignment vertical="center"/>
    </xf>
    <xf numFmtId="44" fontId="4" fillId="0" borderId="123" xfId="0" applyNumberFormat="1" applyFont="1" applyFill="1" applyBorder="1" applyAlignment="1" applyProtection="1">
      <alignment horizontal="right" vertical="center"/>
    </xf>
    <xf numFmtId="44" fontId="4" fillId="0" borderId="127" xfId="0" applyNumberFormat="1" applyFont="1" applyFill="1" applyBorder="1" applyAlignment="1" applyProtection="1">
      <alignment horizontal="right" vertical="center"/>
    </xf>
    <xf numFmtId="44" fontId="4" fillId="0" borderId="128" xfId="0" applyNumberFormat="1" applyFont="1" applyFill="1" applyBorder="1" applyAlignment="1" applyProtection="1">
      <alignment horizontal="right" vertical="center"/>
    </xf>
    <xf numFmtId="44" fontId="16" fillId="0" borderId="55" xfId="0" applyNumberFormat="1" applyFont="1" applyFill="1" applyBorder="1" applyAlignment="1" applyProtection="1">
      <alignment horizontal="right" vertical="center"/>
    </xf>
    <xf numFmtId="44" fontId="16" fillId="0" borderId="11" xfId="0" applyNumberFormat="1" applyFont="1" applyBorder="1" applyAlignment="1" applyProtection="1">
      <alignment vertical="center"/>
    </xf>
    <xf numFmtId="44" fontId="16" fillId="0" borderId="130" xfId="0" applyNumberFormat="1" applyFont="1" applyBorder="1" applyAlignment="1" applyProtection="1">
      <alignment vertical="center"/>
    </xf>
    <xf numFmtId="44" fontId="17" fillId="0" borderId="14" xfId="0" applyNumberFormat="1" applyFont="1" applyBorder="1" applyAlignment="1" applyProtection="1">
      <alignment vertical="center"/>
    </xf>
    <xf numFmtId="44" fontId="47" fillId="0" borderId="14" xfId="0" applyNumberFormat="1" applyFont="1" applyBorder="1" applyAlignment="1" applyProtection="1">
      <alignment vertical="center"/>
    </xf>
    <xf numFmtId="44" fontId="17" fillId="0" borderId="130" xfId="0" applyNumberFormat="1" applyFont="1" applyBorder="1" applyAlignment="1" applyProtection="1">
      <alignment vertical="center"/>
    </xf>
    <xf numFmtId="44" fontId="16" fillId="0" borderId="68" xfId="0" applyNumberFormat="1" applyFont="1" applyBorder="1" applyAlignment="1" applyProtection="1">
      <alignment vertical="center"/>
    </xf>
    <xf numFmtId="44" fontId="47" fillId="0" borderId="130" xfId="0" applyNumberFormat="1" applyFont="1" applyBorder="1" applyAlignment="1" applyProtection="1">
      <alignment vertical="center"/>
    </xf>
    <xf numFmtId="44" fontId="17" fillId="0" borderId="59" xfId="0" applyNumberFormat="1" applyFont="1" applyBorder="1" applyAlignment="1" applyProtection="1">
      <alignment vertical="center"/>
    </xf>
    <xf numFmtId="44" fontId="17" fillId="0" borderId="11" xfId="0" applyNumberFormat="1" applyFont="1" applyBorder="1" applyAlignment="1" applyProtection="1">
      <alignment vertical="center"/>
    </xf>
    <xf numFmtId="44" fontId="46" fillId="0" borderId="116" xfId="0" applyNumberFormat="1" applyFont="1" applyFill="1" applyBorder="1" applyAlignment="1" applyProtection="1">
      <alignment vertical="center"/>
    </xf>
    <xf numFmtId="44" fontId="5" fillId="0" borderId="11" xfId="0" applyNumberFormat="1" applyFont="1" applyFill="1" applyBorder="1" applyAlignment="1" applyProtection="1">
      <alignment vertical="center"/>
    </xf>
    <xf numFmtId="44" fontId="6" fillId="0" borderId="131" xfId="0" applyNumberFormat="1" applyFont="1" applyFill="1" applyBorder="1" applyAlignment="1" applyProtection="1">
      <alignment vertical="center"/>
    </xf>
    <xf numFmtId="44" fontId="4" fillId="0" borderId="11" xfId="0" applyNumberFormat="1" applyFont="1" applyBorder="1" applyAlignment="1" applyProtection="1">
      <alignment vertical="center"/>
    </xf>
    <xf numFmtId="44" fontId="7" fillId="0" borderId="131" xfId="0" applyNumberFormat="1" applyFont="1" applyBorder="1" applyAlignment="1" applyProtection="1">
      <alignment vertical="center"/>
    </xf>
    <xf numFmtId="44" fontId="46" fillId="0" borderId="11" xfId="0" applyNumberFormat="1" applyFont="1" applyFill="1" applyBorder="1" applyAlignment="1" applyProtection="1">
      <alignment vertical="center"/>
    </xf>
    <xf numFmtId="44" fontId="25" fillId="0" borderId="11" xfId="0" applyNumberFormat="1" applyFont="1" applyFill="1" applyBorder="1" applyAlignment="1" applyProtection="1">
      <alignment vertical="center"/>
    </xf>
    <xf numFmtId="44" fontId="4" fillId="0" borderId="68" xfId="0" applyNumberFormat="1" applyFont="1" applyFill="1" applyBorder="1" applyAlignment="1" applyProtection="1">
      <alignment horizontal="right" vertical="center"/>
    </xf>
    <xf numFmtId="44" fontId="4" fillId="0" borderId="11" xfId="0" applyNumberFormat="1" applyFont="1" applyFill="1" applyBorder="1" applyAlignment="1" applyProtection="1">
      <alignment horizontal="right" vertical="center"/>
    </xf>
    <xf numFmtId="44" fontId="5" fillId="0" borderId="11" xfId="0" applyNumberFormat="1" applyFont="1" applyFill="1" applyBorder="1" applyAlignment="1" applyProtection="1">
      <alignment horizontal="right" vertical="center"/>
    </xf>
    <xf numFmtId="44" fontId="14" fillId="0" borderId="11" xfId="0" applyNumberFormat="1" applyFont="1" applyBorder="1" applyAlignment="1" applyProtection="1">
      <alignment horizontal="right" vertical="center"/>
    </xf>
    <xf numFmtId="44" fontId="5" fillId="0" borderId="88" xfId="0" applyNumberFormat="1" applyFont="1" applyFill="1" applyBorder="1" applyAlignment="1" applyProtection="1">
      <alignment horizontal="right" vertical="center"/>
    </xf>
    <xf numFmtId="44" fontId="46" fillId="0" borderId="40" xfId="0" applyNumberFormat="1" applyFont="1" applyFill="1" applyBorder="1" applyAlignment="1" applyProtection="1">
      <alignment horizontal="right" vertical="center"/>
    </xf>
    <xf numFmtId="44" fontId="6" fillId="0" borderId="11" xfId="0" applyNumberFormat="1" applyFont="1" applyFill="1" applyBorder="1" applyAlignment="1" applyProtection="1">
      <alignment vertical="center"/>
    </xf>
    <xf numFmtId="44" fontId="4" fillId="0" borderId="68" xfId="0" applyNumberFormat="1" applyFont="1" applyBorder="1" applyAlignment="1" applyProtection="1">
      <alignment vertical="center"/>
    </xf>
    <xf numFmtId="44" fontId="17" fillId="0" borderId="11" xfId="0" applyNumberFormat="1" applyFont="1" applyFill="1" applyBorder="1" applyAlignment="1" applyProtection="1">
      <alignment vertical="center"/>
    </xf>
    <xf numFmtId="44" fontId="4" fillId="0" borderId="11" xfId="0" applyNumberFormat="1" applyFont="1" applyFill="1" applyBorder="1" applyAlignment="1" applyProtection="1">
      <alignment vertical="center"/>
    </xf>
    <xf numFmtId="44" fontId="5" fillId="0" borderId="130" xfId="0" applyNumberFormat="1" applyFont="1" applyFill="1" applyBorder="1" applyAlignment="1" applyProtection="1">
      <alignment vertical="center"/>
    </xf>
    <xf numFmtId="44" fontId="47" fillId="0" borderId="11" xfId="0" applyNumberFormat="1" applyFont="1" applyFill="1" applyBorder="1" applyAlignment="1" applyProtection="1">
      <alignment vertical="center"/>
    </xf>
    <xf numFmtId="44" fontId="17" fillId="0" borderId="14" xfId="0" applyNumberFormat="1" applyFont="1" applyFill="1" applyBorder="1" applyAlignment="1" applyProtection="1">
      <alignment vertical="center"/>
    </xf>
    <xf numFmtId="44" fontId="6" fillId="0" borderId="40" xfId="0" applyNumberFormat="1" applyFont="1" applyFill="1" applyBorder="1" applyAlignment="1" applyProtection="1">
      <alignment vertical="center"/>
    </xf>
    <xf numFmtId="44" fontId="7" fillId="0" borderId="11" xfId="0" applyNumberFormat="1" applyFont="1" applyFill="1" applyBorder="1" applyAlignment="1" applyProtection="1">
      <alignment vertical="center"/>
    </xf>
    <xf numFmtId="44" fontId="5" fillId="0" borderId="68" xfId="0" applyNumberFormat="1" applyFont="1" applyFill="1" applyBorder="1" applyAlignment="1" applyProtection="1">
      <alignment vertical="center"/>
    </xf>
    <xf numFmtId="44" fontId="41" fillId="0" borderId="11" xfId="0" applyNumberFormat="1" applyFont="1" applyFill="1" applyBorder="1" applyAlignment="1" applyProtection="1">
      <alignment vertical="center"/>
    </xf>
    <xf numFmtId="44" fontId="46" fillId="0" borderId="59" xfId="0" applyNumberFormat="1" applyFont="1" applyFill="1" applyBorder="1" applyAlignment="1" applyProtection="1">
      <alignment vertical="center"/>
    </xf>
    <xf numFmtId="44" fontId="7" fillId="0" borderId="131" xfId="0" applyNumberFormat="1" applyFont="1" applyFill="1" applyBorder="1" applyAlignment="1" applyProtection="1">
      <alignment vertical="center"/>
    </xf>
    <xf numFmtId="43" fontId="5" fillId="0" borderId="19" xfId="0" applyNumberFormat="1" applyFont="1" applyFill="1" applyBorder="1" applyAlignment="1" applyProtection="1">
      <alignment vertical="center"/>
    </xf>
    <xf numFmtId="43" fontId="5" fillId="0" borderId="42" xfId="0" applyNumberFormat="1" applyFont="1" applyFill="1" applyBorder="1" applyAlignment="1" applyProtection="1">
      <alignment vertical="center"/>
    </xf>
    <xf numFmtId="43" fontId="19" fillId="3" borderId="132" xfId="0" applyNumberFormat="1" applyFont="1" applyFill="1" applyBorder="1" applyAlignment="1" applyProtection="1">
      <alignment vertical="center"/>
      <protection locked="0"/>
    </xf>
    <xf numFmtId="43" fontId="4" fillId="0" borderId="12" xfId="0" quotePrefix="1" applyNumberFormat="1" applyFont="1" applyFill="1" applyBorder="1" applyAlignment="1" applyProtection="1">
      <alignment vertical="center"/>
    </xf>
    <xf numFmtId="43" fontId="4" fillId="0" borderId="12" xfId="0" applyNumberFormat="1" applyFont="1" applyFill="1" applyBorder="1" applyAlignment="1" applyProtection="1">
      <alignment horizontal="center" vertical="center"/>
    </xf>
    <xf numFmtId="43" fontId="4" fillId="0" borderId="12" xfId="0" applyNumberFormat="1" applyFont="1" applyFill="1" applyBorder="1" applyAlignment="1" applyProtection="1">
      <alignment vertical="center"/>
    </xf>
    <xf numFmtId="43" fontId="4" fillId="0" borderId="32" xfId="0"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32" xfId="0" applyNumberFormat="1" applyFont="1" applyFill="1" applyBorder="1" applyAlignment="1" applyProtection="1">
      <alignment vertical="center"/>
    </xf>
    <xf numFmtId="43" fontId="5" fillId="0" borderId="32" xfId="1" applyNumberFormat="1" applyFont="1" applyFill="1" applyBorder="1" applyAlignment="1" applyProtection="1">
      <alignment vertical="center"/>
    </xf>
    <xf numFmtId="43" fontId="5" fillId="0" borderId="0" xfId="1" applyNumberFormat="1" applyFont="1" applyFill="1" applyBorder="1" applyAlignment="1" applyProtection="1">
      <alignment vertical="center"/>
    </xf>
    <xf numFmtId="43" fontId="14" fillId="0" borderId="0" xfId="0" applyNumberFormat="1" applyFont="1" applyBorder="1" applyAlignment="1" applyProtection="1">
      <alignment vertical="center"/>
    </xf>
    <xf numFmtId="43" fontId="4" fillId="0" borderId="13" xfId="0" applyNumberFormat="1" applyFont="1" applyFill="1" applyBorder="1" applyAlignment="1" applyProtection="1">
      <alignment vertical="center"/>
    </xf>
    <xf numFmtId="43" fontId="5" fillId="0" borderId="4" xfId="0" applyNumberFormat="1" applyFont="1" applyFill="1" applyBorder="1" applyAlignment="1" applyProtection="1">
      <alignment vertical="center"/>
    </xf>
    <xf numFmtId="43" fontId="4" fillId="0" borderId="0" xfId="15" applyNumberFormat="1" applyFont="1" applyFill="1" applyBorder="1" applyAlignment="1" applyProtection="1">
      <alignment vertical="center"/>
    </xf>
    <xf numFmtId="43" fontId="4" fillId="0" borderId="32" xfId="0" applyNumberFormat="1" applyFont="1" applyBorder="1" applyAlignment="1" applyProtection="1">
      <alignment vertical="center"/>
    </xf>
    <xf numFmtId="43" fontId="4" fillId="0" borderId="0" xfId="0" applyNumberFormat="1" applyFont="1" applyBorder="1" applyAlignment="1" applyProtection="1">
      <alignment vertical="center"/>
    </xf>
    <xf numFmtId="43" fontId="6" fillId="0" borderId="4" xfId="0" applyNumberFormat="1" applyFont="1" applyFill="1" applyBorder="1" applyAlignment="1" applyProtection="1">
      <alignment horizontal="right" vertical="center"/>
    </xf>
    <xf numFmtId="43" fontId="6" fillId="0" borderId="12" xfId="0" applyNumberFormat="1" applyFont="1" applyFill="1" applyBorder="1" applyAlignment="1" applyProtection="1">
      <alignment horizontal="right" vertical="center"/>
    </xf>
    <xf numFmtId="43" fontId="5" fillId="0" borderId="0" xfId="0" applyNumberFormat="1" applyFont="1" applyFill="1" applyBorder="1" applyAlignment="1" applyProtection="1">
      <alignment horizontal="right" vertical="center"/>
    </xf>
    <xf numFmtId="43" fontId="46" fillId="0" borderId="6" xfId="0" applyNumberFormat="1" applyFont="1" applyFill="1" applyBorder="1" applyAlignment="1" applyProtection="1">
      <alignment horizontal="right" vertical="center"/>
    </xf>
    <xf numFmtId="43" fontId="5" fillId="0" borderId="12" xfId="0" applyNumberFormat="1" applyFont="1" applyFill="1" applyBorder="1" applyAlignment="1" applyProtection="1">
      <alignment vertical="center"/>
    </xf>
    <xf numFmtId="4" fontId="5" fillId="0" borderId="0" xfId="0" applyNumberFormat="1" applyFont="1" applyFill="1" applyBorder="1" applyAlignment="1" applyProtection="1">
      <alignment vertical="center"/>
    </xf>
    <xf numFmtId="44" fontId="4" fillId="0" borderId="18" xfId="0" applyNumberFormat="1" applyFont="1" applyFill="1" applyBorder="1" applyAlignment="1" applyProtection="1">
      <alignment horizontal="right" vertical="center"/>
    </xf>
    <xf numFmtId="44" fontId="4" fillId="0" borderId="45" xfId="0" applyNumberFormat="1" applyFont="1" applyFill="1" applyBorder="1" applyAlignment="1" applyProtection="1">
      <alignment horizontal="right" vertical="center"/>
    </xf>
    <xf numFmtId="44" fontId="4" fillId="0" borderId="133" xfId="0" applyNumberFormat="1" applyFont="1" applyFill="1" applyBorder="1" applyAlignment="1" applyProtection="1">
      <alignment horizontal="right" vertical="center"/>
    </xf>
    <xf numFmtId="44" fontId="17" fillId="12" borderId="134" xfId="0" applyNumberFormat="1" applyFont="1" applyFill="1" applyBorder="1" applyAlignment="1" applyProtection="1">
      <alignment horizontal="right" vertical="center"/>
    </xf>
    <xf numFmtId="44" fontId="7" fillId="12" borderId="68" xfId="0" applyNumberFormat="1" applyFont="1" applyFill="1" applyBorder="1" applyAlignment="1" applyProtection="1">
      <alignment horizontal="right" vertical="center"/>
    </xf>
    <xf numFmtId="44" fontId="4" fillId="0" borderId="11" xfId="0" applyNumberFormat="1" applyFont="1" applyBorder="1" applyAlignment="1" applyProtection="1">
      <alignment horizontal="right" vertical="center"/>
    </xf>
    <xf numFmtId="44" fontId="4" fillId="0" borderId="129" xfId="0" applyNumberFormat="1" applyFont="1" applyBorder="1" applyAlignment="1" applyProtection="1">
      <alignment horizontal="right" vertical="center"/>
    </xf>
    <xf numFmtId="44" fontId="17" fillId="12" borderId="135" xfId="0" applyNumberFormat="1" applyFont="1" applyFill="1" applyBorder="1" applyAlignment="1" applyProtection="1">
      <alignment horizontal="right" vertical="center"/>
    </xf>
    <xf numFmtId="44" fontId="7" fillId="12" borderId="74" xfId="0" applyNumberFormat="1" applyFont="1" applyFill="1" applyBorder="1" applyAlignment="1" applyProtection="1">
      <alignment horizontal="right" vertical="center"/>
    </xf>
    <xf numFmtId="44" fontId="16" fillId="3" borderId="124" xfId="0" applyNumberFormat="1" applyFont="1" applyFill="1" applyBorder="1" applyAlignment="1" applyProtection="1">
      <alignment horizontal="right" vertical="center"/>
    </xf>
    <xf numFmtId="44" fontId="16" fillId="3" borderId="123" xfId="0" applyNumberFormat="1" applyFont="1" applyFill="1" applyBorder="1" applyAlignment="1" applyProtection="1">
      <alignment horizontal="right" vertical="center"/>
    </xf>
    <xf numFmtId="44" fontId="16" fillId="3" borderId="125" xfId="0" applyNumberFormat="1" applyFont="1" applyFill="1" applyBorder="1" applyAlignment="1" applyProtection="1">
      <alignment horizontal="right" vertical="center"/>
    </xf>
    <xf numFmtId="44" fontId="17" fillId="0" borderId="114" xfId="0" applyNumberFormat="1" applyFont="1" applyBorder="1" applyAlignment="1" applyProtection="1">
      <alignment vertical="center"/>
    </xf>
    <xf numFmtId="44" fontId="17" fillId="0" borderId="136" xfId="0" applyNumberFormat="1" applyFont="1" applyBorder="1" applyAlignment="1" applyProtection="1">
      <alignment vertical="center"/>
    </xf>
    <xf numFmtId="44" fontId="4" fillId="0" borderId="10" xfId="0" applyNumberFormat="1" applyFont="1" applyFill="1" applyBorder="1" applyAlignment="1" applyProtection="1">
      <alignment vertical="center"/>
    </xf>
    <xf numFmtId="44" fontId="4" fillId="0" borderId="14" xfId="0" applyNumberFormat="1" applyFont="1" applyFill="1" applyBorder="1" applyAlignment="1" applyProtection="1">
      <alignment vertical="center"/>
    </xf>
    <xf numFmtId="44" fontId="14" fillId="0" borderId="11" xfId="0" applyNumberFormat="1" applyFont="1" applyBorder="1" applyAlignment="1" applyProtection="1">
      <alignment vertical="center"/>
    </xf>
    <xf numFmtId="44" fontId="47" fillId="0" borderId="40" xfId="0" applyNumberFormat="1" applyFont="1" applyFill="1" applyBorder="1" applyAlignment="1" applyProtection="1">
      <alignment vertical="center"/>
    </xf>
    <xf numFmtId="44" fontId="5" fillId="0" borderId="14" xfId="0" applyNumberFormat="1" applyFont="1" applyFill="1" applyBorder="1" applyAlignment="1" applyProtection="1">
      <alignment vertical="center"/>
    </xf>
    <xf numFmtId="44" fontId="43" fillId="0" borderId="116" xfId="0" applyNumberFormat="1" applyFont="1" applyBorder="1" applyAlignment="1" applyProtection="1">
      <alignment vertical="center"/>
    </xf>
    <xf numFmtId="44" fontId="19" fillId="3" borderId="49" xfId="0" applyNumberFormat="1" applyFont="1" applyFill="1" applyBorder="1" applyAlignment="1" applyProtection="1">
      <alignment vertical="center"/>
      <protection locked="0"/>
    </xf>
    <xf numFmtId="44" fontId="4" fillId="0" borderId="49" xfId="0" applyNumberFormat="1" applyFont="1" applyBorder="1" applyAlignment="1" applyProtection="1">
      <alignment vertical="center"/>
    </xf>
    <xf numFmtId="44" fontId="4" fillId="0" borderId="137" xfId="0" applyNumberFormat="1" applyFont="1" applyBorder="1" applyAlignment="1" applyProtection="1">
      <alignment vertical="center"/>
    </xf>
    <xf numFmtId="44" fontId="7" fillId="0" borderId="36" xfId="0" applyNumberFormat="1" applyFont="1" applyBorder="1" applyAlignment="1" applyProtection="1">
      <alignment vertical="center"/>
    </xf>
    <xf numFmtId="44" fontId="7" fillId="0" borderId="115" xfId="0" applyNumberFormat="1" applyFont="1" applyBorder="1" applyAlignment="1" applyProtection="1">
      <alignment vertical="center"/>
    </xf>
    <xf numFmtId="44" fontId="19" fillId="0" borderId="138" xfId="0" applyNumberFormat="1" applyFont="1" applyFill="1" applyBorder="1" applyAlignment="1" applyProtection="1">
      <alignment vertical="center"/>
    </xf>
    <xf numFmtId="44" fontId="4" fillId="0" borderId="138" xfId="0" applyNumberFormat="1" applyFont="1" applyFill="1" applyBorder="1" applyAlignment="1" applyProtection="1">
      <alignment vertical="center"/>
    </xf>
    <xf numFmtId="44" fontId="4" fillId="0" borderId="139" xfId="0" applyNumberFormat="1" applyFont="1" applyFill="1" applyBorder="1" applyAlignment="1" applyProtection="1">
      <alignment vertical="center"/>
    </xf>
    <xf numFmtId="44" fontId="19" fillId="3" borderId="140" xfId="0" applyNumberFormat="1" applyFont="1" applyFill="1" applyBorder="1" applyAlignment="1" applyProtection="1">
      <alignment vertical="center"/>
      <protection locked="0"/>
    </xf>
    <xf numFmtId="44" fontId="4" fillId="0" borderId="141" xfId="0" applyNumberFormat="1" applyFont="1" applyBorder="1" applyAlignment="1" applyProtection="1">
      <alignment vertical="center"/>
    </xf>
    <xf numFmtId="44" fontId="7" fillId="0" borderId="69" xfId="0" applyNumberFormat="1" applyFont="1" applyBorder="1" applyAlignment="1" applyProtection="1">
      <alignment vertical="center"/>
    </xf>
    <xf numFmtId="0" fontId="17" fillId="0" borderId="30" xfId="0" applyFont="1" applyBorder="1" applyAlignment="1">
      <alignment horizontal="center" vertical="center"/>
    </xf>
    <xf numFmtId="0" fontId="17" fillId="0" borderId="30" xfId="0" applyFont="1" applyBorder="1" applyAlignment="1">
      <alignment horizontal="center" vertical="center" wrapText="1"/>
    </xf>
    <xf numFmtId="0" fontId="17" fillId="0" borderId="114" xfId="0" applyFont="1" applyBorder="1" applyAlignment="1">
      <alignment horizontal="center" vertical="center" wrapText="1"/>
    </xf>
    <xf numFmtId="44" fontId="4" fillId="0" borderId="18" xfId="0" applyNumberFormat="1" applyFont="1" applyBorder="1" applyAlignment="1">
      <alignment vertical="center"/>
    </xf>
    <xf numFmtId="44" fontId="17" fillId="0" borderId="114" xfId="0" applyNumberFormat="1" applyFont="1" applyBorder="1" applyAlignment="1">
      <alignment horizontal="center" vertical="center" wrapText="1"/>
    </xf>
    <xf numFmtId="44" fontId="4" fillId="0" borderId="45" xfId="0" applyNumberFormat="1" applyFont="1" applyBorder="1" applyAlignment="1">
      <alignment vertical="center"/>
    </xf>
    <xf numFmtId="43" fontId="7" fillId="0" borderId="0" xfId="0" applyNumberFormat="1" applyFont="1" applyBorder="1" applyAlignment="1">
      <alignment horizontal="right" vertical="center"/>
    </xf>
    <xf numFmtId="43" fontId="16" fillId="0" borderId="17" xfId="0" applyNumberFormat="1" applyFont="1" applyBorder="1" applyAlignment="1">
      <alignment vertical="center"/>
    </xf>
    <xf numFmtId="43" fontId="17" fillId="0" borderId="60" xfId="0" applyNumberFormat="1" applyFont="1" applyBorder="1" applyAlignment="1">
      <alignment horizontal="right" vertical="center"/>
    </xf>
    <xf numFmtId="43" fontId="16" fillId="0" borderId="21" xfId="0" applyNumberFormat="1" applyFont="1" applyBorder="1" applyAlignment="1">
      <alignment vertical="center"/>
    </xf>
    <xf numFmtId="0" fontId="17" fillId="0" borderId="32" xfId="0" applyNumberFormat="1" applyFont="1" applyBorder="1" applyAlignment="1">
      <alignment horizontal="right" vertical="center"/>
    </xf>
    <xf numFmtId="0" fontId="16" fillId="0" borderId="6" xfId="0" applyNumberFormat="1" applyFont="1" applyBorder="1" applyAlignment="1">
      <alignment vertical="center"/>
    </xf>
    <xf numFmtId="0" fontId="16" fillId="0" borderId="17" xfId="0" applyNumberFormat="1" applyFont="1" applyBorder="1" applyAlignment="1">
      <alignment vertical="center"/>
    </xf>
    <xf numFmtId="0" fontId="17" fillId="0" borderId="30" xfId="0" applyNumberFormat="1" applyFont="1" applyBorder="1" applyAlignment="1">
      <alignment horizontal="center" vertical="center"/>
    </xf>
    <xf numFmtId="0" fontId="17" fillId="0" borderId="6" xfId="0" applyNumberFormat="1" applyFont="1" applyBorder="1" applyAlignment="1">
      <alignment horizontal="right" vertical="center"/>
    </xf>
    <xf numFmtId="0" fontId="17" fillId="0" borderId="60" xfId="0" applyNumberFormat="1" applyFont="1" applyBorder="1" applyAlignment="1">
      <alignment horizontal="right" vertical="center"/>
    </xf>
    <xf numFmtId="0" fontId="17" fillId="0" borderId="13" xfId="0" applyNumberFormat="1" applyFont="1" applyBorder="1" applyAlignment="1">
      <alignment horizontal="right" vertical="center"/>
    </xf>
    <xf numFmtId="0" fontId="16" fillId="0" borderId="21" xfId="0" applyNumberFormat="1" applyFont="1" applyBorder="1" applyAlignment="1">
      <alignment vertical="center"/>
    </xf>
    <xf numFmtId="43" fontId="19" fillId="3" borderId="27" xfId="0" applyNumberFormat="1" applyFont="1" applyFill="1" applyBorder="1" applyAlignment="1" applyProtection="1">
      <alignment vertical="center"/>
      <protection locked="0"/>
    </xf>
    <xf numFmtId="43" fontId="14" fillId="0" borderId="0" xfId="0" applyNumberFormat="1" applyFont="1" applyBorder="1" applyAlignment="1">
      <alignment vertical="center"/>
    </xf>
    <xf numFmtId="43" fontId="14" fillId="0" borderId="41" xfId="0" applyNumberFormat="1" applyFont="1" applyBorder="1" applyAlignment="1">
      <alignment vertical="center"/>
    </xf>
    <xf numFmtId="0" fontId="17" fillId="0" borderId="3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2" xfId="0" applyFont="1" applyBorder="1" applyAlignment="1">
      <alignment horizontal="center" vertical="center" wrapText="1"/>
    </xf>
    <xf numFmtId="44" fontId="17" fillId="0" borderId="42" xfId="0" applyNumberFormat="1" applyFont="1" applyBorder="1" applyAlignment="1">
      <alignment horizontal="center" vertical="center" wrapText="1"/>
    </xf>
    <xf numFmtId="0" fontId="17" fillId="0" borderId="19" xfId="0" applyFont="1" applyBorder="1" applyAlignment="1">
      <alignment horizontal="center" vertical="center"/>
    </xf>
    <xf numFmtId="44" fontId="14" fillId="0" borderId="45" xfId="0" applyNumberFormat="1" applyFont="1" applyBorder="1" applyAlignment="1">
      <alignment vertical="center"/>
    </xf>
    <xf numFmtId="44" fontId="14" fillId="0" borderId="40" xfId="0" applyNumberFormat="1" applyFont="1" applyBorder="1" applyAlignment="1">
      <alignment vertical="center"/>
    </xf>
    <xf numFmtId="44" fontId="14" fillId="0" borderId="45" xfId="0" applyNumberFormat="1" applyFont="1" applyBorder="1" applyAlignment="1">
      <alignment horizontal="left" vertical="center"/>
    </xf>
    <xf numFmtId="44" fontId="16" fillId="0" borderId="14" xfId="0" applyNumberFormat="1" applyFont="1" applyBorder="1" applyAlignment="1">
      <alignment vertical="center"/>
    </xf>
    <xf numFmtId="43" fontId="14" fillId="0" borderId="32" xfId="0" applyNumberFormat="1" applyFont="1" applyBorder="1" applyAlignment="1">
      <alignment vertical="center"/>
    </xf>
    <xf numFmtId="43" fontId="14" fillId="0" borderId="21" xfId="0" applyNumberFormat="1" applyFont="1" applyBorder="1" applyAlignment="1">
      <alignment horizontal="left" vertical="center"/>
    </xf>
    <xf numFmtId="9" fontId="19" fillId="3" borderId="24" xfId="15" applyFont="1" applyFill="1" applyBorder="1" applyAlignment="1" applyProtection="1">
      <alignment vertical="center"/>
      <protection locked="0"/>
    </xf>
    <xf numFmtId="9" fontId="19" fillId="3" borderId="27" xfId="15" applyFont="1" applyFill="1" applyBorder="1" applyAlignment="1" applyProtection="1">
      <alignment vertical="center"/>
      <protection locked="0"/>
    </xf>
    <xf numFmtId="9" fontId="19" fillId="3" borderId="52" xfId="15" applyFont="1" applyFill="1" applyBorder="1" applyAlignment="1" applyProtection="1">
      <alignment vertical="center"/>
      <protection locked="0"/>
    </xf>
    <xf numFmtId="0" fontId="17" fillId="0" borderId="99" xfId="0" applyFont="1" applyBorder="1" applyAlignment="1">
      <alignment horizontal="center" vertical="center" wrapText="1"/>
    </xf>
    <xf numFmtId="0" fontId="17" fillId="0" borderId="21" xfId="0" applyFont="1" applyBorder="1" applyAlignment="1">
      <alignment horizontal="center" vertical="center" wrapText="1"/>
    </xf>
    <xf numFmtId="43" fontId="17" fillId="0" borderId="19" xfId="0" applyNumberFormat="1" applyFont="1" applyBorder="1" applyAlignment="1">
      <alignment horizontal="center" vertical="center" wrapText="1"/>
    </xf>
    <xf numFmtId="0" fontId="16" fillId="0" borderId="149" xfId="0" applyFont="1" applyFill="1" applyBorder="1" applyAlignment="1" applyProtection="1">
      <alignment horizontal="right" vertical="center"/>
    </xf>
    <xf numFmtId="49" fontId="14" fillId="0" borderId="11" xfId="0" applyNumberFormat="1" applyFont="1" applyBorder="1" applyAlignment="1" applyProtection="1">
      <alignment horizontal="left" vertical="center"/>
    </xf>
    <xf numFmtId="49" fontId="16" fillId="0" borderId="11" xfId="0" applyNumberFormat="1" applyFont="1" applyFill="1" applyBorder="1" applyAlignment="1" applyProtection="1">
      <alignment horizontal="left" vertical="center"/>
    </xf>
    <xf numFmtId="0" fontId="25" fillId="0" borderId="150" xfId="0" applyFont="1" applyFill="1" applyBorder="1" applyAlignment="1" applyProtection="1">
      <alignment horizontal="right" vertical="center"/>
    </xf>
    <xf numFmtId="0" fontId="27" fillId="3" borderId="53"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xf>
    <xf numFmtId="1" fontId="113" fillId="3" borderId="19" xfId="0" applyNumberFormat="1" applyFont="1" applyFill="1" applyBorder="1" applyAlignment="1" applyProtection="1">
      <alignment horizontal="center" vertical="center"/>
      <protection locked="0"/>
    </xf>
    <xf numFmtId="0" fontId="27" fillId="0" borderId="19" xfId="0" applyFont="1" applyBorder="1" applyAlignment="1">
      <alignment horizontal="right" vertical="center"/>
    </xf>
    <xf numFmtId="44" fontId="27" fillId="3" borderId="42" xfId="0" applyNumberFormat="1" applyFont="1" applyFill="1" applyBorder="1" applyAlignment="1" applyProtection="1">
      <alignment vertical="center"/>
      <protection locked="0"/>
    </xf>
    <xf numFmtId="0" fontId="4" fillId="0" borderId="149" xfId="0" applyFont="1" applyFill="1" applyBorder="1" applyAlignment="1" applyProtection="1">
      <alignment horizontal="right" vertical="center"/>
    </xf>
    <xf numFmtId="0" fontId="116" fillId="0" borderId="150" xfId="0" applyFont="1" applyFill="1" applyBorder="1" applyAlignment="1" applyProtection="1">
      <alignment horizontal="right" vertical="center"/>
    </xf>
    <xf numFmtId="9" fontId="27" fillId="3" borderId="19" xfId="0" applyNumberFormat="1" applyFont="1" applyFill="1" applyBorder="1" applyAlignment="1" applyProtection="1">
      <alignment horizontal="center" vertical="center"/>
      <protection locked="0"/>
    </xf>
    <xf numFmtId="0" fontId="117" fillId="0" borderId="0" xfId="0" applyFont="1" applyFill="1"/>
    <xf numFmtId="0" fontId="22" fillId="0" borderId="151" xfId="0" applyFont="1" applyFill="1" applyBorder="1" applyAlignment="1"/>
    <xf numFmtId="0" fontId="22" fillId="0" borderId="152" xfId="0" applyFont="1" applyFill="1" applyBorder="1" applyAlignment="1"/>
    <xf numFmtId="0" fontId="22" fillId="0" borderId="152" xfId="0" applyFont="1" applyFill="1" applyBorder="1" applyAlignment="1" applyProtection="1">
      <alignment wrapText="1"/>
    </xf>
    <xf numFmtId="0" fontId="22" fillId="0" borderId="152" xfId="0" applyFont="1" applyFill="1" applyBorder="1" applyAlignment="1" applyProtection="1"/>
    <xf numFmtId="0" fontId="22" fillId="0" borderId="152" xfId="0" applyFont="1" applyFill="1" applyBorder="1" applyAlignment="1" applyProtection="1">
      <alignment horizontal="center" wrapText="1"/>
    </xf>
    <xf numFmtId="0" fontId="22" fillId="0" borderId="119" xfId="0" applyFont="1" applyFill="1" applyBorder="1" applyAlignment="1">
      <alignment horizontal="center"/>
    </xf>
    <xf numFmtId="0" fontId="72" fillId="0" borderId="153" xfId="0" applyFont="1" applyFill="1" applyBorder="1" applyAlignment="1">
      <alignment vertical="center"/>
    </xf>
    <xf numFmtId="0" fontId="72" fillId="0" borderId="19" xfId="0" applyFont="1" applyFill="1" applyBorder="1" applyAlignment="1">
      <alignment horizontal="left" vertical="center" wrapText="1"/>
    </xf>
    <xf numFmtId="9" fontId="72" fillId="0" borderId="19" xfId="15" applyFont="1" applyFill="1" applyBorder="1" applyAlignment="1">
      <alignment horizontal="center" vertical="center" wrapText="1"/>
    </xf>
    <xf numFmtId="0" fontId="72" fillId="0" borderId="19" xfId="0" applyFont="1" applyFill="1" applyBorder="1" applyAlignment="1">
      <alignment vertical="center"/>
    </xf>
    <xf numFmtId="9" fontId="72" fillId="0" borderId="19" xfId="15" applyFont="1" applyFill="1" applyBorder="1" applyAlignment="1">
      <alignment vertical="center"/>
    </xf>
    <xf numFmtId="10" fontId="72" fillId="0" borderId="121" xfId="0" applyNumberFormat="1" applyFont="1" applyFill="1" applyBorder="1" applyAlignment="1">
      <alignment vertical="center"/>
    </xf>
    <xf numFmtId="0" fontId="72" fillId="0" borderId="154" xfId="0" applyFont="1" applyFill="1" applyBorder="1" applyAlignment="1">
      <alignment vertical="center"/>
    </xf>
    <xf numFmtId="0" fontId="72" fillId="0" borderId="155" xfId="0" applyFont="1" applyFill="1" applyBorder="1" applyAlignment="1">
      <alignment horizontal="left" vertical="center" wrapText="1"/>
    </xf>
    <xf numFmtId="9" fontId="72" fillId="0" borderId="155" xfId="15" applyFont="1" applyFill="1" applyBorder="1" applyAlignment="1">
      <alignment horizontal="center" vertical="center" wrapText="1"/>
    </xf>
    <xf numFmtId="0" fontId="72" fillId="0" borderId="155" xfId="0" applyFont="1" applyFill="1" applyBorder="1" applyAlignment="1">
      <alignment vertical="center"/>
    </xf>
    <xf numFmtId="9" fontId="72" fillId="0" borderId="155" xfId="15" applyFont="1" applyFill="1" applyBorder="1" applyAlignment="1">
      <alignment vertical="center"/>
    </xf>
    <xf numFmtId="10" fontId="72" fillId="0" borderId="156" xfId="0" applyNumberFormat="1" applyFont="1" applyFill="1" applyBorder="1" applyAlignment="1">
      <alignment vertical="center"/>
    </xf>
    <xf numFmtId="44" fontId="16" fillId="3" borderId="30" xfId="0" applyNumberFormat="1" applyFont="1" applyFill="1" applyBorder="1" applyAlignment="1" applyProtection="1">
      <alignment horizontal="right" vertical="center"/>
      <protection locked="0"/>
    </xf>
    <xf numFmtId="44" fontId="16" fillId="3" borderId="19" xfId="0" applyNumberFormat="1" applyFont="1" applyFill="1" applyBorder="1" applyAlignment="1" applyProtection="1">
      <alignment horizontal="right" vertical="center"/>
      <protection locked="0"/>
    </xf>
    <xf numFmtId="44" fontId="20" fillId="0" borderId="55" xfId="0" applyNumberFormat="1" applyFont="1" applyFill="1" applyBorder="1" applyAlignment="1" applyProtection="1">
      <alignment horizontal="right" vertical="center"/>
    </xf>
    <xf numFmtId="44" fontId="16" fillId="12" borderId="122" xfId="0" applyNumberFormat="1" applyFont="1" applyFill="1" applyBorder="1" applyAlignment="1" applyProtection="1">
      <alignment horizontal="right" vertical="center"/>
    </xf>
    <xf numFmtId="44" fontId="16" fillId="3" borderId="39" xfId="0" applyNumberFormat="1" applyFont="1" applyFill="1" applyBorder="1" applyAlignment="1" applyProtection="1">
      <alignment horizontal="right" vertical="center"/>
      <protection locked="0"/>
    </xf>
    <xf numFmtId="44" fontId="16" fillId="3" borderId="157" xfId="0" applyNumberFormat="1" applyFont="1" applyFill="1" applyBorder="1" applyAlignment="1" applyProtection="1">
      <alignment horizontal="right" vertical="center"/>
      <protection locked="0"/>
    </xf>
    <xf numFmtId="44" fontId="20" fillId="0" borderId="125" xfId="0" applyNumberFormat="1" applyFont="1" applyFill="1" applyBorder="1" applyAlignment="1" applyProtection="1">
      <alignment vertical="center"/>
    </xf>
    <xf numFmtId="44" fontId="16" fillId="12" borderId="126" xfId="0" applyNumberFormat="1" applyFont="1" applyFill="1" applyBorder="1" applyAlignment="1" applyProtection="1">
      <alignment vertical="center"/>
    </xf>
    <xf numFmtId="44" fontId="4" fillId="12" borderId="126" xfId="0" applyNumberFormat="1" applyFont="1" applyFill="1" applyBorder="1" applyAlignment="1" applyProtection="1">
      <alignment vertical="center"/>
    </xf>
    <xf numFmtId="44" fontId="16" fillId="3" borderId="134" xfId="0" applyNumberFormat="1" applyFont="1" applyFill="1" applyBorder="1" applyAlignment="1" applyProtection="1">
      <alignment horizontal="right" vertical="center"/>
      <protection locked="0"/>
    </xf>
    <xf numFmtId="44" fontId="4" fillId="0" borderId="135" xfId="0" applyNumberFormat="1" applyFont="1" applyBorder="1" applyAlignment="1" applyProtection="1">
      <alignment vertical="center"/>
    </xf>
    <xf numFmtId="0" fontId="14" fillId="0" borderId="148" xfId="0" applyFont="1" applyBorder="1" applyAlignment="1" applyProtection="1">
      <alignment horizontal="right" vertical="center"/>
    </xf>
    <xf numFmtId="44" fontId="16" fillId="3" borderId="30" xfId="0" applyNumberFormat="1" applyFont="1" applyFill="1" applyBorder="1" applyAlignment="1" applyProtection="1">
      <alignment horizontal="right" vertical="center"/>
    </xf>
    <xf numFmtId="44" fontId="16" fillId="3" borderId="19" xfId="0" applyNumberFormat="1" applyFont="1" applyFill="1" applyBorder="1" applyAlignment="1" applyProtection="1">
      <alignment horizontal="right" vertical="center"/>
    </xf>
    <xf numFmtId="44" fontId="16" fillId="3" borderId="39" xfId="0" applyNumberFormat="1" applyFont="1" applyFill="1" applyBorder="1" applyAlignment="1" applyProtection="1">
      <alignment horizontal="right" vertical="center"/>
    </xf>
    <xf numFmtId="44" fontId="16" fillId="3" borderId="157" xfId="0" applyNumberFormat="1" applyFont="1" applyFill="1" applyBorder="1" applyAlignment="1" applyProtection="1">
      <alignment horizontal="right" vertical="center"/>
    </xf>
    <xf numFmtId="44" fontId="16" fillId="3" borderId="134" xfId="0" applyNumberFormat="1" applyFont="1" applyFill="1" applyBorder="1" applyAlignment="1" applyProtection="1">
      <alignment horizontal="right" vertical="center"/>
    </xf>
    <xf numFmtId="0" fontId="98" fillId="0" borderId="0" xfId="0" applyFont="1" applyBorder="1" applyAlignment="1" applyProtection="1">
      <alignment horizontal="centerContinuous" vertical="center"/>
    </xf>
    <xf numFmtId="0" fontId="14" fillId="0" borderId="0" xfId="0" applyFont="1" applyBorder="1" applyAlignment="1" applyProtection="1">
      <alignment horizontal="centerContinuous" vertical="center"/>
    </xf>
    <xf numFmtId="0" fontId="37" fillId="0" borderId="0" xfId="0" applyFont="1" applyBorder="1" applyAlignment="1" applyProtection="1">
      <alignment horizontal="centerContinuous" vertical="center"/>
    </xf>
    <xf numFmtId="0" fontId="27" fillId="0" borderId="0" xfId="0" applyFont="1" applyBorder="1" applyAlignment="1" applyProtection="1">
      <alignment horizontal="centerContinuous" vertical="center"/>
    </xf>
    <xf numFmtId="0" fontId="37" fillId="2" borderId="0" xfId="0" applyFont="1" applyFill="1" applyBorder="1" applyAlignment="1" applyProtection="1">
      <alignment horizontal="centerContinuous" vertical="center"/>
    </xf>
    <xf numFmtId="0" fontId="14" fillId="0" borderId="0" xfId="0" applyFont="1" applyBorder="1" applyAlignment="1">
      <alignment horizontal="centerContinuous" vertical="center"/>
    </xf>
    <xf numFmtId="44" fontId="4" fillId="12" borderId="68" xfId="0" applyNumberFormat="1" applyFont="1" applyFill="1" applyBorder="1" applyAlignment="1" applyProtection="1">
      <alignment horizontal="right" vertical="center"/>
    </xf>
    <xf numFmtId="44" fontId="16" fillId="3" borderId="123" xfId="0" applyNumberFormat="1" applyFont="1" applyFill="1" applyBorder="1" applyAlignment="1" applyProtection="1">
      <alignment horizontal="right" vertical="center"/>
      <protection locked="0"/>
    </xf>
    <xf numFmtId="44" fontId="16" fillId="3" borderId="125" xfId="0" applyNumberFormat="1" applyFont="1" applyFill="1" applyBorder="1" applyAlignment="1" applyProtection="1">
      <alignment horizontal="right" vertical="center"/>
      <protection locked="0"/>
    </xf>
    <xf numFmtId="44" fontId="16" fillId="12" borderId="135" xfId="0" applyNumberFormat="1" applyFont="1" applyFill="1" applyBorder="1" applyAlignment="1" applyProtection="1">
      <alignment horizontal="right" vertical="center"/>
    </xf>
    <xf numFmtId="44" fontId="4" fillId="12" borderId="74" xfId="0" applyNumberFormat="1" applyFont="1" applyFill="1" applyBorder="1" applyAlignment="1" applyProtection="1">
      <alignment horizontal="right" vertical="center"/>
    </xf>
    <xf numFmtId="174" fontId="4" fillId="0" borderId="11" xfId="0" applyNumberFormat="1" applyFont="1" applyBorder="1" applyAlignment="1">
      <alignment horizontal="center"/>
    </xf>
    <xf numFmtId="42" fontId="17" fillId="0" borderId="114" xfId="0" applyNumberFormat="1" applyFont="1" applyBorder="1" applyAlignment="1" applyProtection="1">
      <alignment vertical="center"/>
    </xf>
    <xf numFmtId="42" fontId="17" fillId="0" borderId="136" xfId="0" applyNumberFormat="1" applyFont="1" applyBorder="1" applyAlignment="1" applyProtection="1">
      <alignment vertical="center"/>
    </xf>
    <xf numFmtId="44" fontId="27" fillId="0" borderId="116" xfId="0" applyNumberFormat="1" applyFont="1" applyFill="1" applyBorder="1" applyAlignment="1" applyProtection="1">
      <alignment vertical="center"/>
    </xf>
    <xf numFmtId="44" fontId="20" fillId="0" borderId="158" xfId="0" applyNumberFormat="1" applyFont="1" applyFill="1" applyBorder="1" applyAlignment="1" applyProtection="1">
      <alignment horizontal="right" vertical="center"/>
    </xf>
    <xf numFmtId="44" fontId="16" fillId="12" borderId="159" xfId="0" applyNumberFormat="1" applyFont="1" applyFill="1" applyBorder="1" applyAlignment="1" applyProtection="1">
      <alignment horizontal="right" vertical="center"/>
    </xf>
    <xf numFmtId="44" fontId="16" fillId="12" borderId="143" xfId="0" applyNumberFormat="1" applyFont="1" applyFill="1" applyBorder="1" applyAlignment="1" applyProtection="1">
      <alignment horizontal="right" vertical="center"/>
    </xf>
    <xf numFmtId="44" fontId="4" fillId="3" borderId="160" xfId="0" applyNumberFormat="1" applyFont="1" applyFill="1" applyBorder="1" applyAlignment="1" applyProtection="1">
      <alignment horizontal="right" vertical="center"/>
      <protection locked="0"/>
    </xf>
    <xf numFmtId="44" fontId="4" fillId="3" borderId="161" xfId="0" applyNumberFormat="1" applyFont="1" applyFill="1" applyBorder="1" applyAlignment="1" applyProtection="1">
      <alignment horizontal="right" vertical="center"/>
      <protection locked="0"/>
    </xf>
    <xf numFmtId="0" fontId="0" fillId="0" borderId="19" xfId="0" applyBorder="1"/>
    <xf numFmtId="44" fontId="16" fillId="3" borderId="42" xfId="0" applyNumberFormat="1" applyFont="1" applyFill="1" applyBorder="1" applyAlignment="1" applyProtection="1">
      <alignment horizontal="right" vertical="center"/>
      <protection locked="0"/>
    </xf>
    <xf numFmtId="44" fontId="16" fillId="12" borderId="161" xfId="0" applyNumberFormat="1" applyFont="1" applyFill="1" applyBorder="1" applyAlignment="1" applyProtection="1">
      <alignment horizontal="right" vertical="center"/>
    </xf>
    <xf numFmtId="44" fontId="16" fillId="12" borderId="15" xfId="0" applyNumberFormat="1" applyFont="1" applyFill="1" applyBorder="1" applyAlignment="1" applyProtection="1">
      <alignment horizontal="right" vertical="center"/>
    </xf>
    <xf numFmtId="0" fontId="16" fillId="4" borderId="36" xfId="0" applyFont="1" applyFill="1" applyBorder="1" applyAlignment="1" applyProtection="1">
      <alignment horizontal="center" vertical="top" wrapText="1"/>
    </xf>
    <xf numFmtId="0" fontId="16" fillId="4" borderId="115" xfId="0" applyFont="1" applyFill="1" applyBorder="1" applyAlignment="1" applyProtection="1">
      <alignment horizontal="center" vertical="top" wrapText="1"/>
    </xf>
    <xf numFmtId="0" fontId="0" fillId="0" borderId="11" xfId="0" applyBorder="1"/>
    <xf numFmtId="42" fontId="16" fillId="1" borderId="136" xfId="0" applyNumberFormat="1" applyFont="1" applyFill="1" applyBorder="1" applyAlignment="1" applyProtection="1">
      <alignment horizontal="right" vertical="center"/>
    </xf>
    <xf numFmtId="0" fontId="72" fillId="0" borderId="19" xfId="0" applyFont="1" applyBorder="1" applyAlignment="1">
      <alignment horizontal="center"/>
    </xf>
    <xf numFmtId="42" fontId="16" fillId="1" borderId="42" xfId="0" applyNumberFormat="1" applyFont="1" applyFill="1" applyBorder="1" applyAlignment="1" applyProtection="1">
      <alignment horizontal="right" vertical="center"/>
    </xf>
    <xf numFmtId="0" fontId="25" fillId="3" borderId="73" xfId="0" applyFont="1" applyFill="1" applyBorder="1" applyAlignment="1" applyProtection="1">
      <alignment horizontal="center" vertical="center"/>
    </xf>
    <xf numFmtId="0" fontId="119" fillId="0" borderId="0" xfId="0" applyFont="1"/>
    <xf numFmtId="0" fontId="38" fillId="0" borderId="0" xfId="0" applyFont="1" applyAlignment="1"/>
    <xf numFmtId="0" fontId="38" fillId="0" borderId="0" xfId="0" applyFont="1" applyAlignment="1">
      <alignment horizontal="left"/>
    </xf>
    <xf numFmtId="0" fontId="120" fillId="0" borderId="0" xfId="0" applyFont="1" applyAlignment="1">
      <alignment horizontal="left"/>
    </xf>
    <xf numFmtId="0" fontId="120" fillId="0" borderId="0" xfId="0" applyFont="1" applyAlignment="1"/>
    <xf numFmtId="49" fontId="56" fillId="0" borderId="11" xfId="0" applyNumberFormat="1" applyFont="1" applyBorder="1" applyAlignment="1" applyProtection="1">
      <alignment horizontal="left" vertical="center"/>
    </xf>
    <xf numFmtId="172" fontId="121" fillId="0" borderId="151" xfId="0" applyNumberFormat="1" applyFont="1" applyBorder="1" applyAlignment="1">
      <alignment horizontal="right"/>
    </xf>
    <xf numFmtId="172" fontId="121" fillId="0" borderId="152" xfId="0" applyNumberFormat="1" applyFont="1" applyFill="1" applyBorder="1" applyAlignment="1">
      <alignment horizontal="right"/>
    </xf>
    <xf numFmtId="169" fontId="121" fillId="0" borderId="119" xfId="15" applyNumberFormat="1" applyFont="1" applyFill="1" applyBorder="1" applyAlignment="1">
      <alignment horizontal="center"/>
    </xf>
    <xf numFmtId="172" fontId="121" fillId="0" borderId="153" xfId="0" applyNumberFormat="1" applyFont="1" applyBorder="1" applyAlignment="1">
      <alignment horizontal="right"/>
    </xf>
    <xf numFmtId="172" fontId="121" fillId="0" borderId="19" xfId="0" applyNumberFormat="1" applyFont="1" applyBorder="1" applyAlignment="1">
      <alignment horizontal="right"/>
    </xf>
    <xf numFmtId="169" fontId="121" fillId="0" borderId="120" xfId="15" applyNumberFormat="1" applyFont="1" applyFill="1" applyBorder="1" applyAlignment="1">
      <alignment horizontal="center"/>
    </xf>
    <xf numFmtId="169" fontId="121" fillId="0" borderId="121" xfId="15" applyNumberFormat="1" applyFont="1" applyBorder="1" applyAlignment="1">
      <alignment horizontal="center"/>
    </xf>
    <xf numFmtId="172" fontId="121" fillId="0" borderId="154" xfId="0" applyNumberFormat="1" applyFont="1" applyBorder="1" applyAlignment="1">
      <alignment horizontal="right"/>
    </xf>
    <xf numFmtId="172" fontId="121" fillId="0" borderId="155" xfId="0" applyNumberFormat="1" applyFont="1" applyBorder="1" applyAlignment="1">
      <alignment horizontal="right"/>
    </xf>
    <xf numFmtId="169" fontId="121" fillId="0" borderId="156" xfId="15" applyNumberFormat="1" applyFont="1" applyBorder="1" applyAlignment="1">
      <alignment horizontal="center"/>
    </xf>
    <xf numFmtId="0" fontId="122" fillId="0" borderId="0" xfId="0" applyFont="1" applyFill="1"/>
    <xf numFmtId="0" fontId="122" fillId="0" borderId="0" xfId="0" applyFont="1" applyFill="1" applyAlignment="1">
      <alignment horizontal="center"/>
    </xf>
    <xf numFmtId="0" fontId="122" fillId="0" borderId="0" xfId="0" applyFont="1"/>
    <xf numFmtId="172" fontId="16" fillId="0" borderId="151" xfId="0" applyNumberFormat="1" applyFont="1" applyFill="1" applyBorder="1" applyAlignment="1">
      <alignment horizontal="right" vertical="center"/>
    </xf>
    <xf numFmtId="172" fontId="16" fillId="0" borderId="152" xfId="0" applyNumberFormat="1" applyFont="1" applyFill="1" applyBorder="1" applyAlignment="1">
      <alignment horizontal="right" vertical="center"/>
    </xf>
    <xf numFmtId="172" fontId="16" fillId="0" borderId="12" xfId="0" applyNumberFormat="1" applyFont="1" applyFill="1" applyBorder="1" applyAlignment="1">
      <alignment horizontal="right"/>
    </xf>
    <xf numFmtId="169" fontId="16" fillId="0" borderId="119" xfId="15" applyNumberFormat="1" applyFont="1" applyFill="1" applyBorder="1" applyAlignment="1">
      <alignment horizontal="center"/>
    </xf>
    <xf numFmtId="172" fontId="16" fillId="0" borderId="153" xfId="0" applyNumberFormat="1" applyFont="1" applyBorder="1" applyAlignment="1">
      <alignment horizontal="right"/>
    </xf>
    <xf numFmtId="172" fontId="16" fillId="0" borderId="19" xfId="0" applyNumberFormat="1" applyFont="1" applyBorder="1" applyAlignment="1">
      <alignment horizontal="right"/>
    </xf>
    <xf numFmtId="169" fontId="16" fillId="0" borderId="120" xfId="15" applyNumberFormat="1" applyFont="1" applyFill="1" applyBorder="1" applyAlignment="1">
      <alignment horizontal="center"/>
    </xf>
    <xf numFmtId="169" fontId="16" fillId="0" borderId="121" xfId="15" applyNumberFormat="1" applyFont="1" applyBorder="1" applyAlignment="1">
      <alignment horizontal="center"/>
    </xf>
    <xf numFmtId="172" fontId="16" fillId="0" borderId="154" xfId="0" applyNumberFormat="1" applyFont="1" applyBorder="1" applyAlignment="1">
      <alignment horizontal="right"/>
    </xf>
    <xf numFmtId="172" fontId="16" fillId="0" borderId="155" xfId="0" applyNumberFormat="1" applyFont="1" applyBorder="1" applyAlignment="1">
      <alignment horizontal="right"/>
    </xf>
    <xf numFmtId="169" fontId="16" fillId="0" borderId="156" xfId="15" applyNumberFormat="1" applyFont="1" applyBorder="1" applyAlignment="1">
      <alignment horizontal="center"/>
    </xf>
    <xf numFmtId="0" fontId="74" fillId="0" borderId="6" xfId="0" applyFont="1" applyBorder="1" applyAlignment="1" applyProtection="1">
      <alignment horizontal="center" vertical="center" wrapText="1"/>
    </xf>
    <xf numFmtId="0" fontId="4" fillId="0" borderId="0" xfId="0" applyFont="1" applyAlignment="1">
      <alignment horizontal="justify"/>
    </xf>
    <xf numFmtId="0" fontId="37" fillId="0" borderId="53" xfId="0" applyFont="1" applyBorder="1" applyAlignment="1" applyProtection="1">
      <alignment vertical="center"/>
    </xf>
    <xf numFmtId="10" fontId="0" fillId="0" borderId="0" xfId="0" applyNumberFormat="1"/>
    <xf numFmtId="172" fontId="0" fillId="0" borderId="0" xfId="0" applyNumberFormat="1"/>
    <xf numFmtId="169" fontId="0" fillId="0" borderId="0" xfId="0" applyNumberFormat="1"/>
    <xf numFmtId="179" fontId="0" fillId="0" borderId="0" xfId="0" applyNumberFormat="1"/>
    <xf numFmtId="0" fontId="14" fillId="0" borderId="19" xfId="0" applyFont="1" applyBorder="1" applyAlignment="1">
      <alignment vertical="center"/>
    </xf>
    <xf numFmtId="0" fontId="19" fillId="3" borderId="184" xfId="0" applyFont="1" applyFill="1" applyBorder="1" applyAlignment="1" applyProtection="1">
      <alignment vertical="center"/>
      <protection locked="0"/>
    </xf>
    <xf numFmtId="0" fontId="17" fillId="0" borderId="21" xfId="0" applyFont="1" applyBorder="1" applyAlignment="1">
      <alignment horizontal="center" vertical="center"/>
    </xf>
    <xf numFmtId="0" fontId="19" fillId="3" borderId="182" xfId="0" applyFont="1" applyFill="1" applyBorder="1" applyAlignment="1" applyProtection="1">
      <alignment vertical="center"/>
      <protection locked="0"/>
    </xf>
    <xf numFmtId="0" fontId="19" fillId="3" borderId="183" xfId="0" applyFont="1" applyFill="1" applyBorder="1" applyAlignment="1" applyProtection="1">
      <alignment vertical="center"/>
      <protection locked="0"/>
    </xf>
    <xf numFmtId="0" fontId="19" fillId="3" borderId="186" xfId="0" applyFont="1" applyFill="1" applyBorder="1" applyAlignment="1" applyProtection="1">
      <alignment vertical="center"/>
      <protection locked="0"/>
    </xf>
    <xf numFmtId="0" fontId="19" fillId="3" borderId="187" xfId="0" applyFont="1" applyFill="1" applyBorder="1" applyAlignment="1" applyProtection="1">
      <alignment vertical="center"/>
      <protection locked="0"/>
    </xf>
    <xf numFmtId="0" fontId="17" fillId="0" borderId="17" xfId="0" applyFont="1" applyBorder="1" applyAlignment="1">
      <alignment horizontal="left" vertical="center"/>
    </xf>
    <xf numFmtId="0" fontId="17" fillId="0" borderId="17" xfId="0" applyFont="1" applyBorder="1" applyAlignment="1">
      <alignment vertical="center"/>
    </xf>
    <xf numFmtId="14" fontId="20" fillId="3" borderId="32" xfId="0" applyNumberFormat="1" applyFont="1" applyFill="1" applyBorder="1" applyAlignment="1" applyProtection="1">
      <alignment vertical="center"/>
      <protection locked="0"/>
    </xf>
    <xf numFmtId="14" fontId="20" fillId="3" borderId="41" xfId="0" applyNumberFormat="1" applyFont="1" applyFill="1" applyBorder="1" applyAlignment="1" applyProtection="1">
      <alignment vertical="center"/>
      <protection locked="0"/>
    </xf>
    <xf numFmtId="0" fontId="20" fillId="3" borderId="41" xfId="0" applyFont="1" applyFill="1" applyBorder="1" applyAlignment="1" applyProtection="1">
      <alignment vertical="center"/>
      <protection locked="0"/>
    </xf>
    <xf numFmtId="0" fontId="20" fillId="3" borderId="13" xfId="0" applyFont="1" applyFill="1" applyBorder="1" applyAlignment="1" applyProtection="1">
      <alignment vertical="center"/>
      <protection locked="0"/>
    </xf>
    <xf numFmtId="14" fontId="20" fillId="3" borderId="32" xfId="0" applyNumberFormat="1" applyFont="1" applyFill="1" applyBorder="1" applyProtection="1">
      <protection locked="0"/>
    </xf>
    <xf numFmtId="0" fontId="17" fillId="0" borderId="21" xfId="0" applyFont="1" applyBorder="1" applyAlignment="1">
      <alignment vertical="center"/>
    </xf>
    <xf numFmtId="0" fontId="16" fillId="0" borderId="2" xfId="0" applyFont="1" applyBorder="1" applyAlignment="1">
      <alignment horizontal="left" vertical="center"/>
    </xf>
    <xf numFmtId="0" fontId="17" fillId="0" borderId="9" xfId="0" applyFont="1" applyBorder="1" applyAlignment="1">
      <alignment horizontal="left" vertical="center"/>
    </xf>
    <xf numFmtId="14" fontId="19" fillId="3" borderId="33" xfId="0" applyNumberFormat="1" applyFont="1" applyFill="1" applyBorder="1" applyProtection="1">
      <protection locked="0"/>
    </xf>
    <xf numFmtId="0" fontId="17" fillId="0" borderId="32" xfId="0" applyFont="1" applyBorder="1" applyAlignment="1">
      <alignment vertical="center"/>
    </xf>
    <xf numFmtId="14" fontId="19" fillId="3" borderId="33" xfId="0" applyNumberFormat="1" applyFont="1" applyFill="1" applyBorder="1" applyAlignment="1" applyProtection="1">
      <alignment vertical="center"/>
      <protection locked="0"/>
    </xf>
    <xf numFmtId="14" fontId="19" fillId="3" borderId="32" xfId="0" applyNumberFormat="1" applyFont="1" applyFill="1" applyBorder="1" applyAlignment="1" applyProtection="1">
      <alignment vertical="center"/>
      <protection locked="0"/>
    </xf>
    <xf numFmtId="0" fontId="17" fillId="3" borderId="41" xfId="0" applyFont="1" applyFill="1" applyBorder="1" applyAlignment="1">
      <alignment horizontal="left" vertical="center"/>
    </xf>
    <xf numFmtId="0" fontId="19" fillId="3" borderId="188" xfId="0" applyFont="1" applyFill="1" applyBorder="1" applyAlignment="1" applyProtection="1">
      <alignment vertical="center"/>
      <protection locked="0"/>
    </xf>
    <xf numFmtId="0" fontId="7" fillId="0" borderId="22" xfId="0" applyFont="1" applyBorder="1" applyAlignment="1">
      <alignment horizontal="right" vertical="center"/>
    </xf>
    <xf numFmtId="0" fontId="7" fillId="0" borderId="66" xfId="0" applyFont="1" applyBorder="1" applyAlignment="1">
      <alignment horizontal="right" vertical="center"/>
    </xf>
    <xf numFmtId="0" fontId="17" fillId="0" borderId="21" xfId="0" applyFont="1" applyBorder="1" applyAlignment="1">
      <alignment horizontal="left" vertical="center"/>
    </xf>
    <xf numFmtId="0" fontId="125" fillId="0" borderId="0" xfId="0" applyFont="1"/>
    <xf numFmtId="0" fontId="14" fillId="0" borderId="99" xfId="0" applyFont="1" applyBorder="1" applyAlignment="1">
      <alignment vertical="center"/>
    </xf>
    <xf numFmtId="0" fontId="14" fillId="0" borderId="42" xfId="0" applyFont="1" applyBorder="1" applyAlignment="1">
      <alignment vertical="center" wrapText="1"/>
    </xf>
    <xf numFmtId="0" fontId="19" fillId="3" borderId="48" xfId="0" applyFont="1" applyFill="1" applyBorder="1" applyAlignment="1" applyProtection="1">
      <alignment vertical="center"/>
      <protection locked="0"/>
    </xf>
    <xf numFmtId="0" fontId="19" fillId="3" borderId="30" xfId="0" applyFont="1" applyFill="1" applyBorder="1" applyAlignment="1" applyProtection="1">
      <alignment vertical="center"/>
      <protection locked="0"/>
    </xf>
    <xf numFmtId="170" fontId="4" fillId="0" borderId="42" xfId="0" applyNumberFormat="1" applyFont="1" applyBorder="1" applyAlignment="1">
      <alignment vertical="center" wrapText="1"/>
    </xf>
    <xf numFmtId="0" fontId="19" fillId="3" borderId="28" xfId="0" applyFont="1" applyFill="1" applyBorder="1" applyAlignment="1" applyProtection="1">
      <alignment vertical="center"/>
      <protection locked="0"/>
    </xf>
    <xf numFmtId="0" fontId="19" fillId="3" borderId="174" xfId="0" applyFont="1" applyFill="1" applyBorder="1" applyAlignment="1" applyProtection="1">
      <alignment vertical="center"/>
      <protection locked="0"/>
    </xf>
    <xf numFmtId="0" fontId="17" fillId="0" borderId="32" xfId="0" applyFont="1" applyBorder="1" applyAlignment="1">
      <alignment horizontal="left" vertical="center"/>
    </xf>
    <xf numFmtId="14" fontId="19" fillId="3" borderId="0" xfId="0" applyNumberFormat="1" applyFont="1" applyFill="1" applyBorder="1" applyProtection="1">
      <protection locked="0"/>
    </xf>
    <xf numFmtId="14" fontId="19" fillId="3" borderId="182" xfId="0" applyNumberFormat="1" applyFont="1" applyFill="1" applyBorder="1" applyAlignment="1" applyProtection="1">
      <alignment vertical="center"/>
      <protection locked="0"/>
    </xf>
    <xf numFmtId="0" fontId="7" fillId="0" borderId="12" xfId="0" applyFont="1" applyBorder="1" applyAlignment="1">
      <alignment vertical="center"/>
    </xf>
    <xf numFmtId="0" fontId="17" fillId="0" borderId="99" xfId="0" applyFont="1" applyBorder="1" applyAlignment="1">
      <alignment horizontal="centerContinuous" vertical="center" wrapText="1"/>
    </xf>
    <xf numFmtId="0" fontId="17" fillId="0" borderId="84" xfId="0" applyFont="1" applyBorder="1" applyAlignment="1">
      <alignment horizontal="centerContinuous" vertical="center" wrapText="1"/>
    </xf>
    <xf numFmtId="0" fontId="15" fillId="0" borderId="0" xfId="0" applyFont="1" applyAlignment="1">
      <alignment horizontal="center" vertical="top" wrapText="1"/>
    </xf>
    <xf numFmtId="0" fontId="65"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177" fontId="55" fillId="0" borderId="0" xfId="0" applyNumberFormat="1" applyFont="1" applyBorder="1" applyAlignment="1">
      <alignment horizontal="left" vertical="center"/>
    </xf>
    <xf numFmtId="177" fontId="33" fillId="0" borderId="0" xfId="0" applyNumberFormat="1" applyFont="1" applyBorder="1" applyAlignment="1">
      <alignment horizontal="left" vertical="center"/>
    </xf>
    <xf numFmtId="0" fontId="14" fillId="0" borderId="8" xfId="0" applyFont="1" applyBorder="1"/>
    <xf numFmtId="0" fontId="4" fillId="0" borderId="9" xfId="0" applyFont="1" applyBorder="1"/>
    <xf numFmtId="0" fontId="4" fillId="0" borderId="10" xfId="0" applyFont="1" applyBorder="1"/>
    <xf numFmtId="0" fontId="14" fillId="0" borderId="2" xfId="0" applyFont="1" applyBorder="1"/>
    <xf numFmtId="0" fontId="4" fillId="0" borderId="0" xfId="0" applyFont="1" applyBorder="1"/>
    <xf numFmtId="0" fontId="15" fillId="0" borderId="0" xfId="0" applyFont="1" applyBorder="1"/>
    <xf numFmtId="0" fontId="4" fillId="0" borderId="11" xfId="0" applyFont="1" applyFill="1" applyBorder="1"/>
    <xf numFmtId="0" fontId="4" fillId="0" borderId="11" xfId="0" applyFont="1" applyBorder="1"/>
    <xf numFmtId="0" fontId="7" fillId="0" borderId="0" xfId="0" applyFont="1" applyBorder="1" applyAlignment="1">
      <alignment horizontal="right"/>
    </xf>
    <xf numFmtId="0" fontId="4" fillId="0" borderId="0" xfId="0" applyFont="1" applyBorder="1" applyAlignment="1">
      <alignment horizontal="right"/>
    </xf>
    <xf numFmtId="176" fontId="4" fillId="0" borderId="189" xfId="0" quotePrefix="1" applyNumberFormat="1" applyFont="1" applyBorder="1" applyAlignment="1">
      <alignment horizontal="center"/>
    </xf>
    <xf numFmtId="0" fontId="4" fillId="0" borderId="190" xfId="0" applyFont="1" applyBorder="1"/>
    <xf numFmtId="0" fontId="7" fillId="0" borderId="0" xfId="0" applyFont="1" applyBorder="1"/>
    <xf numFmtId="0" fontId="4" fillId="0" borderId="95" xfId="0" applyFont="1" applyBorder="1"/>
    <xf numFmtId="0" fontId="4" fillId="0" borderId="189" xfId="0" applyFont="1" applyBorder="1"/>
    <xf numFmtId="0" fontId="4" fillId="0" borderId="95" xfId="0" applyFont="1" applyBorder="1" applyAlignment="1">
      <alignment vertical="center"/>
    </xf>
    <xf numFmtId="0" fontId="4" fillId="0" borderId="91" xfId="0" applyFont="1" applyBorder="1"/>
    <xf numFmtId="0" fontId="4" fillId="0" borderId="191" xfId="0" applyFont="1" applyBorder="1"/>
    <xf numFmtId="0" fontId="7" fillId="0" borderId="91" xfId="0" applyFont="1" applyBorder="1"/>
    <xf numFmtId="0" fontId="4" fillId="0" borderId="149" xfId="0" applyFont="1" applyBorder="1"/>
    <xf numFmtId="49" fontId="4" fillId="0" borderId="0" xfId="0" applyNumberFormat="1" applyFont="1" applyBorder="1"/>
    <xf numFmtId="0" fontId="7" fillId="0" borderId="95" xfId="0" applyFont="1" applyFill="1" applyBorder="1"/>
    <xf numFmtId="0" fontId="4" fillId="0" borderId="95" xfId="0" applyFont="1" applyFill="1" applyBorder="1"/>
    <xf numFmtId="0" fontId="7" fillId="0" borderId="0" xfId="0" applyFont="1" applyBorder="1" applyAlignment="1">
      <alignment horizontal="center"/>
    </xf>
    <xf numFmtId="49" fontId="4" fillId="0" borderId="95" xfId="0" applyNumberFormat="1" applyFont="1" applyBorder="1" applyAlignment="1"/>
    <xf numFmtId="0" fontId="4" fillId="0" borderId="88" xfId="0" applyFont="1" applyBorder="1"/>
    <xf numFmtId="0" fontId="15" fillId="0" borderId="2" xfId="0" quotePrefix="1" applyFont="1" applyBorder="1" applyAlignment="1">
      <alignment horizontal="center"/>
    </xf>
    <xf numFmtId="0" fontId="7" fillId="0" borderId="122" xfId="0" applyFont="1" applyBorder="1" applyAlignment="1">
      <alignment horizontal="center"/>
    </xf>
    <xf numFmtId="0" fontId="4" fillId="0" borderId="0" xfId="0" applyFont="1" applyFill="1" applyBorder="1"/>
    <xf numFmtId="0" fontId="4" fillId="0" borderId="75" xfId="0" applyFont="1" applyBorder="1"/>
    <xf numFmtId="0" fontId="4" fillId="0" borderId="13" xfId="0" applyFont="1" applyBorder="1"/>
    <xf numFmtId="0" fontId="7" fillId="0" borderId="66" xfId="0" applyFont="1" applyBorder="1" applyAlignment="1">
      <alignment horizontal="center"/>
    </xf>
    <xf numFmtId="0" fontId="4" fillId="0" borderId="66" xfId="0" applyFont="1" applyBorder="1"/>
    <xf numFmtId="0" fontId="7" fillId="0" borderId="2" xfId="0" applyFont="1" applyBorder="1" applyAlignment="1">
      <alignment horizontal="right"/>
    </xf>
    <xf numFmtId="0" fontId="7" fillId="0" borderId="47" xfId="0" applyFont="1" applyBorder="1" applyAlignment="1">
      <alignment vertical="center" wrapText="1"/>
    </xf>
    <xf numFmtId="0" fontId="7" fillId="0" borderId="53" xfId="0" applyFont="1" applyBorder="1" applyAlignment="1">
      <alignment vertical="center" wrapText="1"/>
    </xf>
    <xf numFmtId="0" fontId="4" fillId="0" borderId="0" xfId="0" applyFont="1" applyBorder="1" applyAlignment="1"/>
    <xf numFmtId="0" fontId="4" fillId="0" borderId="0" xfId="0" applyFont="1" applyFill="1" applyBorder="1" applyAlignment="1">
      <alignment horizontal="left"/>
    </xf>
    <xf numFmtId="0" fontId="4" fillId="0" borderId="54" xfId="0" applyFont="1" applyFill="1" applyBorder="1" applyAlignment="1">
      <alignment horizontal="left"/>
    </xf>
    <xf numFmtId="0" fontId="4" fillId="0" borderId="53" xfId="0" applyFont="1" applyBorder="1"/>
    <xf numFmtId="0" fontId="7" fillId="0" borderId="0" xfId="0" applyFont="1" applyFill="1" applyBorder="1"/>
    <xf numFmtId="0" fontId="4" fillId="0" borderId="32" xfId="0" applyFont="1" applyBorder="1"/>
    <xf numFmtId="0" fontId="14" fillId="0" borderId="66" xfId="0" applyFont="1" applyBorder="1"/>
    <xf numFmtId="0" fontId="4" fillId="0" borderId="54" xfId="0" applyFont="1" applyBorder="1"/>
    <xf numFmtId="0" fontId="4" fillId="0" borderId="54" xfId="0" applyFont="1" applyFill="1" applyBorder="1"/>
    <xf numFmtId="0" fontId="15" fillId="0" borderId="66"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0" fontId="4" fillId="0" borderId="0" xfId="0" applyFont="1" applyFill="1" applyBorder="1" applyAlignment="1"/>
    <xf numFmtId="0" fontId="4" fillId="0" borderId="32" xfId="0" applyFont="1" applyFill="1" applyBorder="1"/>
    <xf numFmtId="0" fontId="4" fillId="0" borderId="47" xfId="0" applyFont="1" applyBorder="1"/>
    <xf numFmtId="0" fontId="7" fillId="0" borderId="53" xfId="0" applyFont="1" applyBorder="1"/>
    <xf numFmtId="9" fontId="4" fillId="0" borderId="0" xfId="0" applyNumberFormat="1" applyFont="1" applyBorder="1" applyAlignment="1">
      <alignment horizontal="center"/>
    </xf>
    <xf numFmtId="170" fontId="4" fillId="0" borderId="0" xfId="0" applyNumberFormat="1" applyFont="1" applyBorder="1" applyAlignment="1">
      <alignment horizontal="left"/>
    </xf>
    <xf numFmtId="0" fontId="4" fillId="0" borderId="13" xfId="0" applyFont="1" applyFill="1" applyBorder="1"/>
    <xf numFmtId="0" fontId="14" fillId="0" borderId="198" xfId="0" applyFont="1" applyBorder="1"/>
    <xf numFmtId="0" fontId="127" fillId="0" borderId="6" xfId="0" applyFont="1" applyBorder="1"/>
    <xf numFmtId="0" fontId="4" fillId="0" borderId="6" xfId="0" applyFont="1" applyBorder="1"/>
    <xf numFmtId="0" fontId="4" fillId="0" borderId="14" xfId="0" applyFont="1" applyBorder="1"/>
    <xf numFmtId="0" fontId="72" fillId="0" borderId="0" xfId="0" applyFont="1" applyAlignment="1">
      <alignment vertical="center" wrapText="1"/>
    </xf>
    <xf numFmtId="0" fontId="14" fillId="0" borderId="91" xfId="0" applyFont="1" applyBorder="1" applyAlignment="1">
      <alignment horizontal="right" vertical="center"/>
    </xf>
    <xf numFmtId="0" fontId="16" fillId="2" borderId="11" xfId="0" applyFont="1" applyFill="1" applyBorder="1" applyAlignment="1" applyProtection="1">
      <alignment vertical="center"/>
    </xf>
    <xf numFmtId="0" fontId="4" fillId="0" borderId="0" xfId="0" applyFont="1" applyBorder="1" applyAlignment="1" applyProtection="1">
      <alignment horizontal="left" vertical="center"/>
    </xf>
    <xf numFmtId="0" fontId="14" fillId="0" borderId="0" xfId="0" applyFont="1" applyBorder="1" applyAlignment="1">
      <alignment horizontal="right" vertical="center"/>
    </xf>
    <xf numFmtId="0" fontId="16" fillId="0" borderId="149" xfId="0" applyFont="1" applyBorder="1" applyAlignment="1" applyProtection="1">
      <alignment horizontal="right" vertical="center"/>
    </xf>
    <xf numFmtId="0" fontId="16" fillId="0" borderId="150" xfId="0" applyFont="1" applyFill="1" applyBorder="1" applyAlignment="1" applyProtection="1">
      <alignment horizontal="right" vertical="center"/>
    </xf>
    <xf numFmtId="0" fontId="27" fillId="0" borderId="24" xfId="0" applyFont="1" applyFill="1" applyBorder="1" applyAlignment="1" applyProtection="1">
      <alignment horizontal="center" vertical="center"/>
    </xf>
    <xf numFmtId="1" fontId="111" fillId="0" borderId="11" xfId="0" applyNumberFormat="1" applyFont="1" applyFill="1" applyBorder="1" applyAlignment="1" applyProtection="1">
      <alignment horizontal="left" vertical="center"/>
    </xf>
    <xf numFmtId="0" fontId="25" fillId="3" borderId="155" xfId="0" applyFont="1" applyFill="1" applyBorder="1" applyAlignment="1" applyProtection="1">
      <alignment horizontal="center" vertical="center"/>
      <protection locked="0"/>
    </xf>
    <xf numFmtId="0" fontId="4" fillId="0" borderId="6" xfId="0" applyFont="1" applyBorder="1" applyAlignment="1" applyProtection="1">
      <alignment vertical="center"/>
    </xf>
    <xf numFmtId="0" fontId="19" fillId="3" borderId="46"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49" fontId="17" fillId="9" borderId="118" xfId="0" applyNumberFormat="1" applyFont="1" applyFill="1" applyBorder="1" applyAlignment="1" applyProtection="1">
      <alignment horizontal="left" vertical="center"/>
      <protection locked="0"/>
    </xf>
    <xf numFmtId="177" fontId="17" fillId="3" borderId="19" xfId="0" applyNumberFormat="1" applyFont="1" applyFill="1" applyBorder="1" applyAlignment="1" applyProtection="1">
      <alignment horizontal="left" vertical="center"/>
      <protection locked="0"/>
    </xf>
    <xf numFmtId="49" fontId="17" fillId="3" borderId="24" xfId="0" applyNumberFormat="1" applyFont="1" applyFill="1" applyBorder="1" applyAlignment="1" applyProtection="1">
      <alignment horizontal="left" vertical="center"/>
      <protection locked="0"/>
    </xf>
    <xf numFmtId="0" fontId="14" fillId="0" borderId="201" xfId="0" applyFont="1" applyBorder="1" applyAlignment="1" applyProtection="1">
      <alignment horizontal="right" vertical="center"/>
    </xf>
    <xf numFmtId="0" fontId="14" fillId="0" borderId="202" xfId="0" applyFont="1" applyBorder="1" applyAlignment="1" applyProtection="1">
      <alignment horizontal="right" vertical="center"/>
    </xf>
    <xf numFmtId="0" fontId="16" fillId="0" borderId="203" xfId="0" applyFont="1" applyFill="1" applyBorder="1" applyAlignment="1" applyProtection="1">
      <alignment horizontal="right" vertical="center"/>
    </xf>
    <xf numFmtId="44" fontId="16" fillId="0" borderId="114" xfId="0" applyNumberFormat="1" applyFont="1" applyFill="1" applyBorder="1" applyAlignment="1" applyProtection="1">
      <alignment horizontal="right" vertical="center"/>
    </xf>
    <xf numFmtId="170" fontId="17" fillId="4" borderId="57" xfId="0" applyNumberFormat="1" applyFont="1" applyFill="1" applyBorder="1" applyAlignment="1" applyProtection="1">
      <alignment horizontal="right" vertical="center"/>
    </xf>
    <xf numFmtId="0" fontId="16" fillId="5" borderId="57" xfId="0" applyFont="1" applyFill="1" applyBorder="1" applyAlignment="1" applyProtection="1">
      <alignment vertical="center"/>
    </xf>
    <xf numFmtId="44" fontId="16" fillId="0" borderId="15" xfId="0" applyNumberFormat="1" applyFont="1" applyFill="1" applyBorder="1" applyAlignment="1" applyProtection="1">
      <alignment horizontal="right" vertical="center"/>
    </xf>
    <xf numFmtId="170" fontId="16" fillId="7" borderId="11" xfId="0" applyNumberFormat="1" applyFont="1" applyFill="1" applyBorder="1" applyAlignment="1" applyProtection="1">
      <alignment horizontal="right" vertical="center"/>
    </xf>
    <xf numFmtId="172" fontId="17" fillId="8" borderId="115" xfId="0" applyNumberFormat="1" applyFont="1" applyFill="1" applyBorder="1" applyAlignment="1" applyProtection="1">
      <alignment horizontal="center" vertical="center" wrapText="1"/>
    </xf>
    <xf numFmtId="44" fontId="16" fillId="0" borderId="114" xfId="0" applyNumberFormat="1" applyFont="1" applyBorder="1" applyAlignment="1" applyProtection="1">
      <alignment vertical="center"/>
    </xf>
    <xf numFmtId="44" fontId="16" fillId="0" borderId="42" xfId="0" applyNumberFormat="1" applyFont="1" applyBorder="1" applyAlignment="1" applyProtection="1">
      <alignment vertical="center"/>
    </xf>
    <xf numFmtId="44" fontId="16" fillId="0" borderId="129" xfId="0" applyNumberFormat="1" applyFont="1" applyBorder="1" applyAlignment="1" applyProtection="1">
      <alignment vertical="center"/>
    </xf>
    <xf numFmtId="44" fontId="16" fillId="12" borderId="55" xfId="0" applyNumberFormat="1" applyFont="1" applyFill="1" applyBorder="1" applyAlignment="1" applyProtection="1">
      <alignment vertical="center"/>
    </xf>
    <xf numFmtId="44" fontId="16" fillId="0" borderId="55" xfId="0" applyNumberFormat="1" applyFont="1" applyBorder="1" applyAlignment="1" applyProtection="1">
      <alignment vertical="center"/>
    </xf>
    <xf numFmtId="44" fontId="16" fillId="0" borderId="74" xfId="0" applyNumberFormat="1" applyFont="1" applyBorder="1" applyAlignment="1" applyProtection="1">
      <alignment vertical="center"/>
    </xf>
    <xf numFmtId="0" fontId="17" fillId="4" borderId="108" xfId="0" applyFont="1" applyFill="1" applyBorder="1" applyAlignment="1" applyProtection="1">
      <alignment horizontal="center" vertical="center" wrapText="1"/>
    </xf>
    <xf numFmtId="44" fontId="16" fillId="3" borderId="122" xfId="0" applyNumberFormat="1" applyFont="1" applyFill="1" applyBorder="1" applyAlignment="1" applyProtection="1">
      <alignment horizontal="right" vertical="center"/>
    </xf>
    <xf numFmtId="44" fontId="16" fillId="3" borderId="15" xfId="0" applyNumberFormat="1" applyFont="1" applyFill="1" applyBorder="1" applyAlignment="1" applyProtection="1">
      <alignment horizontal="right" vertical="center"/>
    </xf>
    <xf numFmtId="0" fontId="17" fillId="4" borderId="117" xfId="0" applyFont="1" applyFill="1" applyBorder="1" applyAlignment="1" applyProtection="1">
      <alignment horizontal="center" vertical="top" wrapText="1"/>
    </xf>
    <xf numFmtId="0" fontId="76" fillId="4" borderId="14" xfId="0" applyFont="1" applyFill="1" applyBorder="1" applyAlignment="1" applyProtection="1">
      <alignment horizontal="center" vertical="top"/>
    </xf>
    <xf numFmtId="172" fontId="25" fillId="3" borderId="155" xfId="0" applyNumberFormat="1" applyFont="1" applyFill="1" applyBorder="1" applyAlignment="1" applyProtection="1">
      <alignment horizontal="center" vertical="center"/>
      <protection locked="0"/>
    </xf>
    <xf numFmtId="0" fontId="16" fillId="2" borderId="0" xfId="0" applyFont="1" applyFill="1" applyBorder="1" applyAlignment="1" applyProtection="1">
      <alignment vertical="center"/>
    </xf>
    <xf numFmtId="49" fontId="4" fillId="0" borderId="0" xfId="0" applyNumberFormat="1" applyFont="1"/>
    <xf numFmtId="49" fontId="4" fillId="0" borderId="11" xfId="0" applyNumberFormat="1" applyFont="1" applyBorder="1" applyAlignment="1">
      <alignment horizontal="center"/>
    </xf>
    <xf numFmtId="0" fontId="7" fillId="0" borderId="0" xfId="0" applyFont="1" applyBorder="1" applyAlignment="1" applyProtection="1">
      <alignment horizontal="left" vertical="center"/>
    </xf>
    <xf numFmtId="0" fontId="0" fillId="0" borderId="2" xfId="0" applyBorder="1" applyAlignment="1"/>
    <xf numFmtId="0" fontId="73" fillId="2" borderId="0"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6" fillId="0" borderId="0" xfId="0" applyFont="1" applyBorder="1" applyAlignment="1" applyProtection="1">
      <alignment horizontal="right" vertical="center"/>
    </xf>
    <xf numFmtId="49" fontId="17" fillId="3" borderId="84" xfId="0" applyNumberFormat="1" applyFont="1" applyFill="1" applyBorder="1" applyAlignment="1" applyProtection="1">
      <alignment vertical="center"/>
      <protection locked="0"/>
    </xf>
    <xf numFmtId="0" fontId="14" fillId="0" borderId="0" xfId="0" applyFont="1" applyBorder="1" applyAlignment="1">
      <alignment horizontal="right" vertical="center"/>
    </xf>
    <xf numFmtId="0" fontId="14" fillId="0" borderId="0" xfId="0" applyFont="1" applyBorder="1" applyAlignment="1">
      <alignment vertical="center"/>
    </xf>
    <xf numFmtId="0" fontId="7" fillId="0" borderId="0" xfId="0" applyFont="1" applyBorder="1" applyAlignment="1">
      <alignment horizontal="center"/>
    </xf>
    <xf numFmtId="0" fontId="7" fillId="0" borderId="29" xfId="0" applyFont="1" applyBorder="1" applyAlignment="1"/>
    <xf numFmtId="0" fontId="17" fillId="0" borderId="84" xfId="0" applyFont="1" applyBorder="1" applyAlignment="1">
      <alignment horizontal="center" vertical="center"/>
    </xf>
    <xf numFmtId="0" fontId="0" fillId="0" borderId="99" xfId="0" applyBorder="1" applyAlignment="1">
      <alignment horizontal="center" vertical="center"/>
    </xf>
    <xf numFmtId="0" fontId="17" fillId="0" borderId="84" xfId="0" applyFont="1" applyBorder="1" applyAlignment="1">
      <alignment horizontal="center" vertical="center" wrapText="1"/>
    </xf>
    <xf numFmtId="165" fontId="5" fillId="0" borderId="6" xfId="0" applyNumberFormat="1" applyFont="1" applyFill="1" applyBorder="1" applyAlignment="1" applyProtection="1">
      <alignment vertical="center"/>
    </xf>
    <xf numFmtId="44" fontId="6" fillId="0" borderId="14" xfId="0" applyNumberFormat="1" applyFont="1" applyFill="1" applyBorder="1" applyAlignment="1" applyProtection="1">
      <alignment vertical="center"/>
    </xf>
    <xf numFmtId="0" fontId="46" fillId="0" borderId="17" xfId="0" applyFont="1" applyFill="1" applyBorder="1" applyAlignment="1" applyProtection="1">
      <alignment horizontal="right" vertical="center"/>
    </xf>
    <xf numFmtId="165" fontId="5" fillId="0" borderId="17" xfId="0" applyNumberFormat="1" applyFont="1" applyFill="1" applyBorder="1" applyAlignment="1" applyProtection="1">
      <alignment vertical="center"/>
    </xf>
    <xf numFmtId="9" fontId="107" fillId="0" borderId="21" xfId="0" applyNumberFormat="1"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14" fillId="0" borderId="0" xfId="0" applyFont="1" applyBorder="1" applyAlignment="1">
      <alignment horizontal="right" vertical="center"/>
    </xf>
    <xf numFmtId="0" fontId="14" fillId="0" borderId="0" xfId="0" applyFont="1" applyBorder="1" applyAlignment="1">
      <alignment vertical="center"/>
    </xf>
    <xf numFmtId="0" fontId="15" fillId="0" borderId="0" xfId="0" applyFont="1" applyBorder="1" applyAlignment="1">
      <alignment horizontal="right" vertical="center"/>
    </xf>
    <xf numFmtId="0" fontId="19" fillId="3" borderId="26"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19" fillId="3" borderId="23" xfId="0" applyFont="1" applyFill="1" applyBorder="1" applyAlignment="1" applyProtection="1">
      <alignment vertical="center"/>
      <protection locked="0"/>
    </xf>
    <xf numFmtId="0" fontId="19" fillId="3" borderId="183"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0" fillId="0" borderId="7" xfId="0" applyBorder="1" applyAlignment="1"/>
    <xf numFmtId="0" fontId="14" fillId="0" borderId="111" xfId="0" applyFont="1" applyBorder="1" applyAlignment="1">
      <alignment horizontal="right" vertical="center"/>
    </xf>
    <xf numFmtId="0" fontId="14" fillId="0" borderId="102" xfId="0" applyFont="1" applyBorder="1" applyAlignment="1">
      <alignment horizontal="right" vertical="center"/>
    </xf>
    <xf numFmtId="0" fontId="14" fillId="0" borderId="148" xfId="0" applyFont="1" applyBorder="1" applyAlignment="1">
      <alignment horizontal="right" vertical="center"/>
    </xf>
    <xf numFmtId="0" fontId="14" fillId="0" borderId="110" xfId="0" applyFont="1" applyBorder="1" applyAlignment="1">
      <alignment horizontal="right" vertical="center"/>
    </xf>
    <xf numFmtId="0" fontId="14" fillId="0" borderId="20" xfId="0" applyFont="1" applyBorder="1" applyAlignment="1">
      <alignment horizontal="right" vertical="center"/>
    </xf>
    <xf numFmtId="0" fontId="14" fillId="0" borderId="112" xfId="0" applyFont="1" applyBorder="1" applyAlignment="1">
      <alignment horizontal="right" vertical="center"/>
    </xf>
    <xf numFmtId="0" fontId="14" fillId="0" borderId="113" xfId="0" applyFont="1" applyBorder="1" applyAlignment="1">
      <alignment horizontal="right" vertical="center"/>
    </xf>
    <xf numFmtId="0" fontId="124" fillId="0" borderId="8" xfId="0" applyFont="1" applyBorder="1"/>
    <xf numFmtId="0" fontId="1" fillId="0" borderId="9" xfId="0" applyFont="1" applyBorder="1"/>
    <xf numFmtId="0" fontId="124" fillId="0" borderId="9" xfId="0" applyFont="1" applyBorder="1"/>
    <xf numFmtId="0" fontId="7" fillId="0" borderId="9" xfId="0" applyFont="1" applyBorder="1"/>
    <xf numFmtId="0" fontId="1" fillId="0" borderId="10" xfId="0" applyFont="1" applyBorder="1"/>
    <xf numFmtId="0" fontId="1" fillId="0" borderId="8" xfId="0" applyFont="1" applyBorder="1"/>
    <xf numFmtId="0" fontId="1" fillId="0" borderId="2" xfId="0" applyFont="1" applyBorder="1"/>
    <xf numFmtId="0" fontId="1" fillId="0" borderId="0" xfId="0" applyFont="1" applyBorder="1"/>
    <xf numFmtId="0" fontId="1" fillId="0" borderId="0" xfId="0" applyFont="1"/>
    <xf numFmtId="0" fontId="1" fillId="0" borderId="11" xfId="0" applyFont="1" applyBorder="1"/>
    <xf numFmtId="0" fontId="7" fillId="0" borderId="0" xfId="0" applyFont="1"/>
    <xf numFmtId="0" fontId="7" fillId="0" borderId="0" xfId="0" applyFont="1" applyAlignment="1">
      <alignment horizontal="center"/>
    </xf>
    <xf numFmtId="0" fontId="7" fillId="0" borderId="0" xfId="0" applyFont="1" applyAlignment="1"/>
    <xf numFmtId="0" fontId="7" fillId="0" borderId="2" xfId="0" applyFont="1" applyBorder="1"/>
    <xf numFmtId="0" fontId="1" fillId="0" borderId="0" xfId="0" applyFont="1" applyAlignment="1">
      <alignment horizontal="center"/>
    </xf>
    <xf numFmtId="0" fontId="1" fillId="0" borderId="95" xfId="0" applyFont="1" applyBorder="1"/>
    <xf numFmtId="0" fontId="1" fillId="0" borderId="95" xfId="0" applyFont="1" applyBorder="1" applyAlignment="1">
      <alignment horizontal="right"/>
    </xf>
    <xf numFmtId="0" fontId="1" fillId="0" borderId="0" xfId="0" applyFont="1" applyAlignment="1">
      <alignment horizontal="right"/>
    </xf>
    <xf numFmtId="0" fontId="7" fillId="0" borderId="20" xfId="0" applyFont="1" applyBorder="1"/>
    <xf numFmtId="0" fontId="7" fillId="0" borderId="21" xfId="0" applyFont="1" applyBorder="1"/>
    <xf numFmtId="0" fontId="1" fillId="0" borderId="21" xfId="0" applyFont="1" applyBorder="1"/>
    <xf numFmtId="0" fontId="1" fillId="0" borderId="47" xfId="0" applyFont="1" applyBorder="1" applyAlignment="1"/>
    <xf numFmtId="0" fontId="7" fillId="0" borderId="33" xfId="0" applyFont="1" applyBorder="1"/>
    <xf numFmtId="0" fontId="1" fillId="0" borderId="24" xfId="0" applyFont="1" applyBorder="1" applyAlignment="1">
      <alignment horizontal="center"/>
    </xf>
    <xf numFmtId="0" fontId="1" fillId="0" borderId="47" xfId="0" applyFont="1" applyBorder="1"/>
    <xf numFmtId="0" fontId="1" fillId="0" borderId="21" xfId="0" applyFont="1" applyBorder="1" applyAlignment="1">
      <alignment horizontal="center"/>
    </xf>
    <xf numFmtId="0" fontId="1" fillId="0" borderId="99" xfId="0" applyFont="1" applyBorder="1" applyAlignment="1">
      <alignment horizontal="center"/>
    </xf>
    <xf numFmtId="0" fontId="1" fillId="0" borderId="32" xfId="0" applyFont="1" applyBorder="1" applyAlignment="1">
      <alignment horizontal="center"/>
    </xf>
    <xf numFmtId="0" fontId="1" fillId="0" borderId="75" xfId="0" applyFont="1" applyBorder="1" applyAlignment="1">
      <alignment horizontal="center"/>
    </xf>
    <xf numFmtId="0" fontId="1" fillId="0" borderId="47" xfId="0" applyFont="1" applyBorder="1" applyAlignment="1">
      <alignment horizontal="centerContinuous"/>
    </xf>
    <xf numFmtId="0" fontId="1" fillId="0" borderId="32" xfId="0" applyFont="1" applyBorder="1" applyAlignment="1"/>
    <xf numFmtId="0" fontId="1" fillId="0" borderId="32" xfId="0" applyFont="1" applyBorder="1" applyAlignment="1">
      <alignment horizontal="centerContinuous"/>
    </xf>
    <xf numFmtId="0" fontId="1" fillId="0" borderId="53" xfId="0" applyFont="1" applyBorder="1"/>
    <xf numFmtId="0" fontId="1" fillId="0" borderId="52" xfId="0" applyFont="1" applyBorder="1" applyAlignment="1">
      <alignment horizontal="center"/>
    </xf>
    <xf numFmtId="0" fontId="1" fillId="0" borderId="47" xfId="0" applyFont="1" applyBorder="1" applyAlignment="1">
      <alignment horizontal="center"/>
    </xf>
    <xf numFmtId="0" fontId="1" fillId="0" borderId="0" xfId="0" applyFont="1" applyBorder="1" applyAlignment="1">
      <alignment horizontal="center"/>
    </xf>
    <xf numFmtId="0" fontId="1" fillId="0" borderId="122" xfId="0" applyFont="1" applyBorder="1" applyAlignment="1">
      <alignment horizontal="center"/>
    </xf>
    <xf numFmtId="0" fontId="1" fillId="0" borderId="29" xfId="0" applyFont="1" applyBorder="1" applyAlignment="1"/>
    <xf numFmtId="0" fontId="1" fillId="0" borderId="13" xfId="0" applyFont="1" applyBorder="1" applyAlignment="1">
      <alignment horizontal="centerContinuous"/>
    </xf>
    <xf numFmtId="0" fontId="1" fillId="0" borderId="29" xfId="0" applyFont="1" applyBorder="1" applyAlignment="1">
      <alignment horizontal="centerContinuous"/>
    </xf>
    <xf numFmtId="0" fontId="1" fillId="0" borderId="13"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114" xfId="0" applyFont="1" applyBorder="1" applyAlignment="1">
      <alignment horizontal="center"/>
    </xf>
    <xf numFmtId="0" fontId="7" fillId="0" borderId="112" xfId="0" applyFont="1" applyBorder="1" applyAlignment="1">
      <alignment horizontal="center"/>
    </xf>
    <xf numFmtId="0" fontId="1" fillId="0" borderId="204" xfId="0" quotePrefix="1" applyFont="1" applyBorder="1"/>
    <xf numFmtId="0" fontId="1" fillId="0" borderId="97" xfId="0" applyFont="1" applyBorder="1"/>
    <xf numFmtId="0" fontId="1" fillId="0" borderId="204" xfId="0" applyFont="1" applyBorder="1"/>
    <xf numFmtId="0" fontId="1" fillId="0" borderId="98" xfId="0" applyFont="1" applyBorder="1"/>
    <xf numFmtId="182" fontId="1" fillId="0" borderId="204" xfId="0" applyNumberFormat="1" applyFont="1" applyBorder="1" applyAlignment="1">
      <alignment horizontal="center"/>
    </xf>
    <xf numFmtId="182" fontId="1" fillId="0" borderId="193" xfId="0" quotePrefix="1" applyNumberFormat="1" applyFont="1" applyBorder="1" applyAlignment="1">
      <alignment horizontal="center"/>
    </xf>
    <xf numFmtId="182" fontId="1" fillId="0" borderId="97" xfId="0" applyNumberFormat="1" applyFont="1" applyBorder="1" applyAlignment="1">
      <alignment horizontal="center"/>
    </xf>
    <xf numFmtId="182" fontId="1" fillId="0" borderId="193" xfId="0" applyNumberFormat="1" applyFont="1" applyBorder="1" applyAlignment="1">
      <alignment horizontal="center"/>
    </xf>
    <xf numFmtId="0" fontId="1" fillId="0" borderId="205" xfId="0" quotePrefix="1" applyFont="1" applyBorder="1" applyAlignment="1">
      <alignment horizontal="center"/>
    </xf>
    <xf numFmtId="0" fontId="7" fillId="0" borderId="34" xfId="0" applyFont="1" applyBorder="1" applyAlignment="1">
      <alignment horizontal="center"/>
    </xf>
    <xf numFmtId="0" fontId="1" fillId="0" borderId="29" xfId="0" quotePrefix="1" applyFont="1" applyBorder="1"/>
    <xf numFmtId="0" fontId="1" fillId="0" borderId="13" xfId="0" applyFont="1" applyBorder="1"/>
    <xf numFmtId="0" fontId="1" fillId="0" borderId="174" xfId="0" quotePrefix="1" applyFont="1" applyBorder="1" applyAlignment="1">
      <alignment horizontal="center"/>
    </xf>
    <xf numFmtId="0" fontId="1" fillId="0" borderId="29" xfId="0" applyFont="1" applyBorder="1"/>
    <xf numFmtId="0" fontId="1" fillId="0" borderId="174" xfId="0" applyFont="1" applyBorder="1"/>
    <xf numFmtId="182" fontId="1" fillId="0" borderId="29" xfId="0" applyNumberFormat="1" applyFont="1" applyBorder="1" applyAlignment="1">
      <alignment horizontal="center"/>
    </xf>
    <xf numFmtId="182" fontId="1" fillId="0" borderId="29" xfId="0" quotePrefix="1" applyNumberFormat="1" applyFont="1" applyBorder="1" applyAlignment="1">
      <alignment horizontal="center"/>
    </xf>
    <xf numFmtId="182" fontId="1" fillId="0" borderId="30" xfId="0" applyNumberFormat="1" applyFont="1" applyBorder="1" applyAlignment="1">
      <alignment horizontal="center"/>
    </xf>
    <xf numFmtId="0" fontId="1" fillId="0" borderId="114" xfId="0" quotePrefix="1" applyFont="1" applyBorder="1" applyAlignment="1">
      <alignment horizontal="center"/>
    </xf>
    <xf numFmtId="0" fontId="1" fillId="0" borderId="31" xfId="0" applyFont="1" applyBorder="1"/>
    <xf numFmtId="0" fontId="1" fillId="0" borderId="0" xfId="0" quotePrefix="1" applyFont="1" applyBorder="1"/>
    <xf numFmtId="0" fontId="1" fillId="0" borderId="0" xfId="0" applyFont="1" applyBorder="1" applyAlignment="1">
      <alignment horizontal="right"/>
    </xf>
    <xf numFmtId="0" fontId="7" fillId="0" borderId="206" xfId="0" applyFont="1" applyBorder="1" applyAlignment="1">
      <alignment horizontal="center"/>
    </xf>
    <xf numFmtId="182" fontId="7" fillId="0" borderId="207" xfId="0" applyNumberFormat="1" applyFont="1" applyBorder="1" applyAlignment="1">
      <alignment horizontal="center"/>
    </xf>
    <xf numFmtId="0" fontId="1" fillId="0" borderId="0" xfId="0" quotePrefix="1" applyFont="1" applyBorder="1" applyAlignment="1">
      <alignment horizontal="center"/>
    </xf>
    <xf numFmtId="0" fontId="7" fillId="0" borderId="208" xfId="0" applyFont="1" applyBorder="1"/>
    <xf numFmtId="0" fontId="1" fillId="0" borderId="12" xfId="0" quotePrefix="1" applyFont="1" applyBorder="1" applyAlignment="1">
      <alignment horizontal="center"/>
    </xf>
    <xf numFmtId="0" fontId="1" fillId="0" borderId="80" xfId="0" applyFont="1" applyBorder="1" applyAlignment="1">
      <alignment horizontal="center"/>
    </xf>
    <xf numFmtId="0" fontId="7" fillId="0" borderId="152" xfId="0" applyFont="1" applyBorder="1" applyAlignment="1">
      <alignment horizontal="center"/>
    </xf>
    <xf numFmtId="0" fontId="7" fillId="0" borderId="45" xfId="0" applyFont="1" applyBorder="1" applyAlignment="1">
      <alignment horizontal="center"/>
    </xf>
    <xf numFmtId="0" fontId="1" fillId="0" borderId="7" xfId="0" applyFont="1" applyBorder="1"/>
    <xf numFmtId="0" fontId="1" fillId="0" borderId="6" xfId="0" quotePrefix="1" applyFont="1" applyBorder="1"/>
    <xf numFmtId="0" fontId="1" fillId="0" borderId="6" xfId="0" applyFont="1" applyBorder="1"/>
    <xf numFmtId="0" fontId="1" fillId="0" borderId="6" xfId="0" applyFont="1" applyBorder="1" applyAlignment="1">
      <alignment horizontal="center"/>
    </xf>
    <xf numFmtId="0" fontId="1" fillId="0" borderId="6" xfId="0" quotePrefix="1" applyFont="1" applyBorder="1" applyAlignment="1">
      <alignment horizontal="center"/>
    </xf>
    <xf numFmtId="0" fontId="7" fillId="0" borderId="209" xfId="0" applyFont="1" applyBorder="1"/>
    <xf numFmtId="0" fontId="7" fillId="0" borderId="176" xfId="0" applyFont="1" applyBorder="1" applyAlignment="1">
      <alignment horizontal="center"/>
    </xf>
    <xf numFmtId="182" fontId="7" fillId="0" borderId="14" xfId="0" quotePrefix="1" applyNumberFormat="1" applyFont="1" applyBorder="1" applyAlignment="1">
      <alignment horizontal="center"/>
    </xf>
    <xf numFmtId="0" fontId="1" fillId="0" borderId="11" xfId="0" quotePrefix="1" applyFont="1" applyBorder="1" applyAlignment="1">
      <alignment horizontal="center"/>
    </xf>
    <xf numFmtId="0" fontId="1" fillId="0" borderId="45" xfId="0" quotePrefix="1" applyFont="1" applyBorder="1" applyAlignment="1">
      <alignment horizontal="center"/>
    </xf>
    <xf numFmtId="0" fontId="1" fillId="0" borderId="20" xfId="0" applyFont="1" applyBorder="1"/>
    <xf numFmtId="0" fontId="1" fillId="0" borderId="210" xfId="0" applyFont="1" applyBorder="1"/>
    <xf numFmtId="0" fontId="7" fillId="0" borderId="211" xfId="0" applyFont="1" applyBorder="1" applyAlignment="1">
      <alignment horizontal="center"/>
    </xf>
    <xf numFmtId="0" fontId="1" fillId="0" borderId="40" xfId="0" applyFont="1" applyBorder="1"/>
    <xf numFmtId="0" fontId="7" fillId="0" borderId="34" xfId="0" applyFont="1" applyBorder="1" applyAlignment="1">
      <alignment horizontal="centerContinuous"/>
    </xf>
    <xf numFmtId="0" fontId="1" fillId="0" borderId="13" xfId="0" applyFont="1" applyBorder="1" applyAlignment="1"/>
    <xf numFmtId="0" fontId="7" fillId="0" borderId="29" xfId="0" applyFont="1" applyBorder="1" applyAlignment="1">
      <alignment horizontal="centerContinuous"/>
    </xf>
    <xf numFmtId="0" fontId="7" fillId="0" borderId="210" xfId="0" applyFont="1" applyBorder="1"/>
    <xf numFmtId="0" fontId="7" fillId="0" borderId="84" xfId="0" applyFont="1" applyBorder="1"/>
    <xf numFmtId="0" fontId="7" fillId="0" borderId="212" xfId="0" applyFont="1" applyBorder="1" applyAlignment="1">
      <alignment horizontal="center"/>
    </xf>
    <xf numFmtId="0" fontId="7" fillId="0" borderId="53" xfId="0" applyFont="1" applyBorder="1" applyAlignment="1"/>
    <xf numFmtId="0" fontId="7" fillId="0" borderId="11" xfId="0" applyFont="1" applyBorder="1" applyAlignment="1">
      <alignment horizontal="center"/>
    </xf>
    <xf numFmtId="0" fontId="7" fillId="0" borderId="29" xfId="0" applyFont="1" applyBorder="1" applyAlignment="1">
      <alignment horizontal="center"/>
    </xf>
    <xf numFmtId="0" fontId="7" fillId="0" borderId="213" xfId="0" applyFont="1" applyBorder="1" applyAlignment="1">
      <alignment horizontal="center"/>
    </xf>
    <xf numFmtId="0" fontId="7" fillId="0" borderId="30" xfId="0" applyFont="1" applyBorder="1" applyAlignment="1">
      <alignment horizontal="center"/>
    </xf>
    <xf numFmtId="0" fontId="7" fillId="0" borderId="88" xfId="0" applyFont="1" applyBorder="1" applyAlignment="1">
      <alignment horizontal="center"/>
    </xf>
    <xf numFmtId="0" fontId="1" fillId="0" borderId="199" xfId="0" quotePrefix="1" applyFont="1" applyBorder="1" applyAlignment="1">
      <alignment horizontal="center"/>
    </xf>
    <xf numFmtId="0" fontId="1" fillId="0" borderId="214" xfId="0" quotePrefix="1" applyFont="1" applyBorder="1"/>
    <xf numFmtId="0" fontId="1" fillId="0" borderId="214" xfId="0" applyFont="1" applyBorder="1" applyAlignment="1">
      <alignment horizontal="center"/>
    </xf>
    <xf numFmtId="0" fontId="1" fillId="0" borderId="96" xfId="0" quotePrefix="1" applyFont="1" applyBorder="1" applyAlignment="1">
      <alignment horizontal="center"/>
    </xf>
    <xf numFmtId="0" fontId="1" fillId="0" borderId="215" xfId="0" applyFont="1" applyBorder="1"/>
    <xf numFmtId="0" fontId="1" fillId="0" borderId="96" xfId="0" applyFont="1" applyBorder="1"/>
    <xf numFmtId="0" fontId="1" fillId="0" borderId="214" xfId="0" quotePrefix="1" applyFont="1" applyBorder="1" applyAlignment="1">
      <alignment horizontal="center"/>
    </xf>
    <xf numFmtId="2" fontId="1" fillId="0" borderId="216" xfId="0" applyNumberFormat="1" applyFont="1" applyBorder="1" applyAlignment="1">
      <alignment horizontal="center"/>
    </xf>
    <xf numFmtId="0" fontId="1" fillId="0" borderId="95" xfId="0" applyFont="1" applyBorder="1" applyAlignment="1">
      <alignment horizontal="center"/>
    </xf>
    <xf numFmtId="182" fontId="1" fillId="0" borderId="192" xfId="0" quotePrefix="1" applyNumberFormat="1" applyFont="1" applyBorder="1" applyAlignment="1">
      <alignment horizontal="center"/>
    </xf>
    <xf numFmtId="0" fontId="1" fillId="0" borderId="34" xfId="0" quotePrefix="1" applyFont="1" applyBorder="1" applyAlignment="1">
      <alignment horizontal="center"/>
    </xf>
    <xf numFmtId="0" fontId="1" fillId="0" borderId="29" xfId="0" quotePrefix="1" applyFont="1" applyBorder="1" applyAlignment="1">
      <alignment horizontal="center"/>
    </xf>
    <xf numFmtId="0" fontId="1" fillId="0" borderId="174" xfId="0" applyFont="1" applyBorder="1" applyAlignment="1">
      <alignment horizontal="right"/>
    </xf>
    <xf numFmtId="0" fontId="1" fillId="0" borderId="29" xfId="0" quotePrefix="1" applyFont="1" applyBorder="1" applyAlignment="1"/>
    <xf numFmtId="2" fontId="1" fillId="0" borderId="217" xfId="0" applyNumberFormat="1" applyFont="1" applyBorder="1" applyAlignment="1">
      <alignment horizontal="center"/>
    </xf>
    <xf numFmtId="182" fontId="1" fillId="0" borderId="114" xfId="0" applyNumberFormat="1" applyFont="1" applyBorder="1" applyAlignment="1">
      <alignment horizontal="center"/>
    </xf>
    <xf numFmtId="0" fontId="7" fillId="0" borderId="218" xfId="0" applyFont="1" applyBorder="1" applyAlignment="1">
      <alignment horizontal="center"/>
    </xf>
    <xf numFmtId="2" fontId="7" fillId="0" borderId="219" xfId="0" applyNumberFormat="1" applyFont="1" applyBorder="1" applyAlignment="1">
      <alignment horizontal="center"/>
    </xf>
    <xf numFmtId="0" fontId="7" fillId="0" borderId="73" xfId="0" applyFont="1" applyBorder="1" applyAlignment="1">
      <alignment horizontal="center"/>
    </xf>
    <xf numFmtId="182" fontId="7" fillId="0" borderId="131" xfId="0" applyNumberFormat="1" applyFont="1" applyBorder="1" applyAlignment="1">
      <alignment horizontal="center"/>
    </xf>
    <xf numFmtId="0" fontId="1" fillId="0" borderId="99" xfId="0" applyFont="1" applyBorder="1"/>
    <xf numFmtId="0" fontId="7" fillId="0" borderId="21" xfId="0" applyFont="1" applyFill="1" applyBorder="1"/>
    <xf numFmtId="0" fontId="1" fillId="0" borderId="45" xfId="0" applyFont="1" applyBorder="1"/>
    <xf numFmtId="0" fontId="1" fillId="0" borderId="174" xfId="0" applyFont="1" applyBorder="1" applyAlignment="1">
      <alignment horizontal="centerContinuous"/>
    </xf>
    <xf numFmtId="0" fontId="1" fillId="0" borderId="54" xfId="0" applyFont="1" applyBorder="1"/>
    <xf numFmtId="0" fontId="1" fillId="0" borderId="45" xfId="0" applyFont="1" applyBorder="1" applyAlignment="1"/>
    <xf numFmtId="0" fontId="7" fillId="0" borderId="29" xfId="0" applyFont="1" applyFill="1" applyBorder="1" applyAlignment="1"/>
    <xf numFmtId="0" fontId="1" fillId="0" borderId="174" xfId="0" applyFont="1" applyFill="1" applyBorder="1"/>
    <xf numFmtId="0" fontId="7" fillId="0" borderId="13" xfId="0" applyFont="1" applyBorder="1" applyAlignment="1">
      <alignment horizontal="centerContinuous"/>
    </xf>
    <xf numFmtId="0" fontId="7" fillId="0" borderId="29" xfId="0" applyFont="1" applyBorder="1"/>
    <xf numFmtId="0" fontId="7" fillId="0" borderId="13" xfId="0" applyFont="1" applyBorder="1"/>
    <xf numFmtId="0" fontId="7" fillId="0" borderId="13" xfId="0" applyFont="1" applyBorder="1" applyAlignment="1">
      <alignment horizontal="center"/>
    </xf>
    <xf numFmtId="0" fontId="1" fillId="0" borderId="88" xfId="0" applyFont="1" applyBorder="1" applyAlignment="1"/>
    <xf numFmtId="1" fontId="1" fillId="0" borderId="112" xfId="0" applyNumberFormat="1" applyFont="1" applyFill="1" applyBorder="1" applyAlignment="1">
      <alignment horizontal="center"/>
    </xf>
    <xf numFmtId="170" fontId="1" fillId="0" borderId="204" xfId="0" applyNumberFormat="1" applyFont="1" applyBorder="1"/>
    <xf numFmtId="0" fontId="1" fillId="0" borderId="97" xfId="0" quotePrefix="1" applyFont="1" applyBorder="1"/>
    <xf numFmtId="4" fontId="1" fillId="0" borderId="204" xfId="0" applyNumberFormat="1" applyFont="1" applyBorder="1"/>
    <xf numFmtId="0" fontId="7" fillId="0" borderId="24" xfId="0" applyFont="1" applyBorder="1" applyAlignment="1">
      <alignment horizontal="center"/>
    </xf>
    <xf numFmtId="0" fontId="1" fillId="0" borderId="111" xfId="0" applyFont="1" applyBorder="1" applyAlignment="1">
      <alignment horizontal="center"/>
    </xf>
    <xf numFmtId="0" fontId="1" fillId="0" borderId="214" xfId="0" applyFont="1" applyFill="1" applyBorder="1" applyAlignment="1"/>
    <xf numFmtId="0" fontId="1" fillId="0" borderId="96" xfId="0" applyFont="1" applyFill="1" applyBorder="1" applyAlignment="1">
      <alignment horizontal="center"/>
    </xf>
    <xf numFmtId="170" fontId="1" fillId="0" borderId="95" xfId="0" applyNumberFormat="1" applyFont="1" applyBorder="1"/>
    <xf numFmtId="0" fontId="1" fillId="0" borderId="95" xfId="0" quotePrefix="1" applyFont="1" applyBorder="1"/>
    <xf numFmtId="4" fontId="1" fillId="0" borderId="214" xfId="0" applyNumberFormat="1" applyFont="1" applyBorder="1"/>
    <xf numFmtId="0" fontId="7" fillId="0" borderId="114" xfId="0" applyFont="1" applyBorder="1" applyAlignment="1">
      <alignment horizontal="center"/>
    </xf>
    <xf numFmtId="182" fontId="1" fillId="0" borderId="200" xfId="0" applyNumberFormat="1" applyFont="1" applyBorder="1"/>
    <xf numFmtId="0" fontId="1" fillId="0" borderId="92" xfId="0" applyFont="1" applyBorder="1"/>
    <xf numFmtId="170" fontId="1" fillId="0" borderId="91" xfId="0" applyNumberFormat="1" applyFont="1" applyBorder="1"/>
    <xf numFmtId="0" fontId="1" fillId="0" borderId="91" xfId="0" quotePrefix="1" applyFont="1" applyBorder="1"/>
    <xf numFmtId="4" fontId="1" fillId="0" borderId="200" xfId="0" applyNumberFormat="1" applyFont="1" applyBorder="1"/>
    <xf numFmtId="182" fontId="7" fillId="0" borderId="47" xfId="0" applyNumberFormat="1" applyFont="1" applyBorder="1"/>
    <xf numFmtId="1" fontId="1" fillId="0" borderId="24" xfId="0" applyNumberFormat="1" applyFont="1" applyBorder="1"/>
    <xf numFmtId="182" fontId="1" fillId="0" borderId="47" xfId="0" applyNumberFormat="1" applyFont="1" applyBorder="1"/>
    <xf numFmtId="182" fontId="1" fillId="0" borderId="24" xfId="0" applyNumberFormat="1" applyFont="1" applyBorder="1"/>
    <xf numFmtId="4" fontId="1" fillId="0" borderId="47" xfId="0" applyNumberFormat="1" applyFont="1" applyBorder="1"/>
    <xf numFmtId="170" fontId="1" fillId="0" borderId="75" xfId="0" applyNumberFormat="1" applyFont="1" applyBorder="1" applyAlignment="1"/>
    <xf numFmtId="0" fontId="1" fillId="0" borderId="34" xfId="0" applyFont="1" applyFill="1" applyBorder="1"/>
    <xf numFmtId="182" fontId="1" fillId="0" borderId="29" xfId="0" applyNumberFormat="1" applyFont="1" applyBorder="1" applyAlignment="1">
      <alignment horizontal="right"/>
    </xf>
    <xf numFmtId="170" fontId="1" fillId="0" borderId="29" xfId="0" applyNumberFormat="1" applyFont="1" applyBorder="1"/>
    <xf numFmtId="0" fontId="1" fillId="0" borderId="13" xfId="0" quotePrefix="1" applyFont="1" applyBorder="1"/>
    <xf numFmtId="4" fontId="1" fillId="0" borderId="29" xfId="0" applyNumberFormat="1" applyFont="1" applyBorder="1"/>
    <xf numFmtId="1" fontId="1" fillId="0" borderId="30" xfId="0" applyNumberFormat="1" applyFont="1" applyBorder="1" applyAlignment="1">
      <alignment horizontal="center"/>
    </xf>
    <xf numFmtId="4" fontId="1" fillId="0" borderId="29" xfId="0" applyNumberFormat="1" applyFont="1" applyBorder="1" applyAlignment="1">
      <alignment horizontal="center"/>
    </xf>
    <xf numFmtId="4" fontId="1" fillId="0" borderId="114" xfId="0" applyNumberFormat="1" applyFont="1" applyBorder="1" applyAlignment="1">
      <alignment horizontal="center"/>
    </xf>
    <xf numFmtId="0" fontId="7" fillId="0" borderId="170" xfId="0" applyFont="1" applyBorder="1"/>
    <xf numFmtId="0" fontId="1" fillId="0" borderId="1" xfId="0" applyFont="1" applyBorder="1"/>
    <xf numFmtId="4" fontId="7" fillId="0" borderId="170" xfId="0" applyNumberFormat="1" applyFont="1" applyBorder="1"/>
    <xf numFmtId="0" fontId="1" fillId="0" borderId="177" xfId="0" applyFont="1" applyBorder="1"/>
    <xf numFmtId="4" fontId="7" fillId="0" borderId="136" xfId="0" applyNumberFormat="1" applyFont="1" applyBorder="1" applyAlignment="1">
      <alignment horizontal="center"/>
    </xf>
    <xf numFmtId="170" fontId="1" fillId="0" borderId="0" xfId="0" applyNumberFormat="1" applyFont="1" applyBorder="1"/>
    <xf numFmtId="0" fontId="1" fillId="0" borderId="0" xfId="0" applyFont="1" applyFill="1" applyBorder="1"/>
    <xf numFmtId="0" fontId="7" fillId="0" borderId="31" xfId="0" applyFont="1" applyBorder="1" applyAlignment="1">
      <alignment horizontal="center"/>
    </xf>
    <xf numFmtId="0" fontId="7" fillId="0" borderId="47" xfId="0" applyFont="1" applyBorder="1"/>
    <xf numFmtId="0" fontId="1" fillId="0" borderId="32" xfId="0" applyFont="1" applyBorder="1"/>
    <xf numFmtId="0" fontId="7" fillId="0" borderId="47" xfId="0" applyFont="1" applyBorder="1" applyAlignment="1"/>
    <xf numFmtId="0" fontId="1" fillId="0" borderId="33" xfId="0" applyFont="1" applyBorder="1"/>
    <xf numFmtId="0" fontId="7" fillId="0" borderId="47" xfId="0" applyFont="1" applyBorder="1" applyAlignment="1">
      <alignment horizontal="center"/>
    </xf>
    <xf numFmtId="0" fontId="7" fillId="0" borderId="53" xfId="0" applyFont="1" applyBorder="1" applyAlignment="1">
      <alignment horizontal="centerContinuous"/>
    </xf>
    <xf numFmtId="0" fontId="7" fillId="0" borderId="75" xfId="0" applyFont="1" applyBorder="1" applyAlignment="1">
      <alignment horizontal="center"/>
    </xf>
    <xf numFmtId="0" fontId="1" fillId="0" borderId="22" xfId="0" applyFont="1" applyBorder="1"/>
    <xf numFmtId="1" fontId="1" fillId="0" borderId="47" xfId="0" applyNumberFormat="1" applyFont="1" applyBorder="1"/>
    <xf numFmtId="0" fontId="7" fillId="0" borderId="24" xfId="0" applyFont="1" applyBorder="1" applyAlignment="1"/>
    <xf numFmtId="0" fontId="1" fillId="0" borderId="24" xfId="0" applyFont="1" applyBorder="1"/>
    <xf numFmtId="4" fontId="1" fillId="0" borderId="75" xfId="0" applyNumberFormat="1" applyFont="1" applyBorder="1"/>
    <xf numFmtId="0" fontId="1" fillId="0" borderId="111" xfId="0" applyFont="1" applyBorder="1"/>
    <xf numFmtId="0" fontId="1" fillId="0" borderId="214" xfId="0" applyFont="1" applyBorder="1"/>
    <xf numFmtId="1" fontId="1" fillId="0" borderId="214" xfId="0" applyNumberFormat="1" applyFont="1" applyBorder="1"/>
    <xf numFmtId="0" fontId="1" fillId="0" borderId="195" xfId="0" applyFont="1" applyBorder="1" applyAlignment="1">
      <alignment horizontal="right"/>
    </xf>
    <xf numFmtId="9" fontId="1" fillId="0" borderId="195" xfId="0" applyNumberFormat="1" applyFont="1" applyBorder="1" applyAlignment="1">
      <alignment horizontal="center"/>
    </xf>
    <xf numFmtId="170" fontId="1" fillId="0" borderId="214" xfId="0" applyNumberFormat="1" applyFont="1" applyBorder="1"/>
    <xf numFmtId="4" fontId="1" fillId="0" borderId="192" xfId="0" applyNumberFormat="1" applyFont="1" applyBorder="1" applyAlignment="1"/>
    <xf numFmtId="0" fontId="1" fillId="0" borderId="34" xfId="0" applyFont="1" applyBorder="1"/>
    <xf numFmtId="1" fontId="1" fillId="0" borderId="29" xfId="0" applyNumberFormat="1" applyFont="1" applyBorder="1"/>
    <xf numFmtId="0" fontId="1" fillId="0" borderId="52" xfId="0" applyFont="1" applyBorder="1" applyAlignment="1">
      <alignment horizontal="right"/>
    </xf>
    <xf numFmtId="0" fontId="1" fillId="0" borderId="52" xfId="0" applyFont="1" applyBorder="1"/>
    <xf numFmtId="2" fontId="1" fillId="0" borderId="53" xfId="0" applyNumberFormat="1" applyFont="1" applyBorder="1"/>
    <xf numFmtId="4" fontId="1" fillId="0" borderId="122" xfId="0" applyNumberFormat="1" applyFont="1" applyBorder="1" applyAlignment="1"/>
    <xf numFmtId="4" fontId="7" fillId="0" borderId="136" xfId="0" applyNumberFormat="1" applyFont="1" applyBorder="1" applyAlignment="1"/>
    <xf numFmtId="183" fontId="7" fillId="0" borderId="7" xfId="0" applyNumberFormat="1" applyFont="1" applyBorder="1"/>
    <xf numFmtId="183" fontId="124" fillId="0" borderId="6" xfId="0" applyNumberFormat="1" applyFont="1" applyBorder="1"/>
    <xf numFmtId="183" fontId="1" fillId="0" borderId="6" xfId="0" applyNumberFormat="1" applyFont="1" applyBorder="1"/>
    <xf numFmtId="183" fontId="7" fillId="0" borderId="173" xfId="0" applyNumberFormat="1" applyFont="1" applyBorder="1" applyAlignment="1">
      <alignment horizontal="centerContinuous"/>
    </xf>
    <xf numFmtId="183" fontId="7" fillId="0" borderId="85" xfId="0" applyNumberFormat="1" applyFont="1" applyBorder="1" applyAlignment="1">
      <alignment horizontal="centerContinuous"/>
    </xf>
    <xf numFmtId="183" fontId="1" fillId="0" borderId="85" xfId="0" applyNumberFormat="1" applyFont="1" applyBorder="1"/>
    <xf numFmtId="183" fontId="7" fillId="0" borderId="85" xfId="0" applyNumberFormat="1" applyFont="1" applyBorder="1"/>
    <xf numFmtId="183" fontId="1" fillId="0" borderId="220" xfId="0" applyNumberFormat="1" applyFont="1" applyBorder="1"/>
    <xf numFmtId="0" fontId="1" fillId="0" borderId="70" xfId="0" applyFont="1" applyBorder="1"/>
    <xf numFmtId="183" fontId="7" fillId="0" borderId="139" xfId="0" applyNumberFormat="1" applyFont="1" applyBorder="1" applyAlignment="1">
      <alignment horizontal="center"/>
    </xf>
    <xf numFmtId="183" fontId="1" fillId="0" borderId="34" xfId="0" applyNumberFormat="1" applyFont="1" applyBorder="1"/>
    <xf numFmtId="183" fontId="1" fillId="0" borderId="13" xfId="0" applyNumberFormat="1" applyFont="1" applyBorder="1"/>
    <xf numFmtId="183" fontId="1" fillId="0" borderId="29" xfId="0" applyNumberFormat="1" applyFont="1" applyBorder="1"/>
    <xf numFmtId="183" fontId="1" fillId="0" borderId="174" xfId="0" applyNumberFormat="1" applyFont="1" applyBorder="1"/>
    <xf numFmtId="183" fontId="1" fillId="0" borderId="221" xfId="0" applyNumberFormat="1" applyFont="1" applyBorder="1"/>
    <xf numFmtId="183" fontId="1" fillId="0" borderId="78" xfId="0" applyNumberFormat="1" applyFont="1" applyBorder="1"/>
    <xf numFmtId="183" fontId="1" fillId="0" borderId="222" xfId="0" applyNumberFormat="1" applyFont="1" applyBorder="1"/>
    <xf numFmtId="0" fontId="1" fillId="0" borderId="78" xfId="0" applyFont="1" applyBorder="1"/>
    <xf numFmtId="0" fontId="1" fillId="0" borderId="222" xfId="0" applyFont="1" applyBorder="1"/>
    <xf numFmtId="183" fontId="1" fillId="0" borderId="114" xfId="0" applyNumberFormat="1" applyFont="1" applyBorder="1"/>
    <xf numFmtId="183" fontId="1" fillId="0" borderId="7" xfId="0" quotePrefix="1" applyNumberFormat="1" applyFont="1" applyBorder="1"/>
    <xf numFmtId="183" fontId="1" fillId="0" borderId="6" xfId="0" quotePrefix="1" applyNumberFormat="1" applyFont="1" applyBorder="1"/>
    <xf numFmtId="183" fontId="1" fillId="0" borderId="179" xfId="0" applyNumberFormat="1" applyFont="1" applyBorder="1"/>
    <xf numFmtId="183" fontId="1" fillId="0" borderId="44" xfId="0" applyNumberFormat="1" applyFont="1" applyBorder="1"/>
    <xf numFmtId="183" fontId="1" fillId="0" borderId="170" xfId="0" applyNumberFormat="1" applyFont="1" applyBorder="1"/>
    <xf numFmtId="170" fontId="1" fillId="0" borderId="74" xfId="0" applyNumberFormat="1" applyFont="1" applyBorder="1" applyAlignment="1">
      <alignment horizontal="center"/>
    </xf>
    <xf numFmtId="0" fontId="7" fillId="0" borderId="34" xfId="0" applyFont="1" applyBorder="1"/>
    <xf numFmtId="0" fontId="1" fillId="0" borderId="88" xfId="0" applyFont="1" applyBorder="1"/>
    <xf numFmtId="0" fontId="7" fillId="0" borderId="19" xfId="0" applyFont="1" applyBorder="1" applyAlignment="1">
      <alignment horizontal="center"/>
    </xf>
    <xf numFmtId="0" fontId="1" fillId="0" borderId="0" xfId="0" applyFont="1" applyAlignment="1"/>
    <xf numFmtId="0" fontId="1" fillId="0" borderId="122" xfId="0" applyFont="1" applyBorder="1"/>
    <xf numFmtId="15" fontId="1" fillId="0" borderId="34" xfId="0" applyNumberFormat="1" applyFont="1" applyBorder="1" applyAlignment="1">
      <alignment horizontal="centerContinuous"/>
    </xf>
    <xf numFmtId="170" fontId="7" fillId="0" borderId="114" xfId="0" applyNumberFormat="1" applyFont="1" applyBorder="1" applyAlignment="1">
      <alignment horizontal="center"/>
    </xf>
    <xf numFmtId="0" fontId="7" fillId="0" borderId="20" xfId="0" applyFont="1" applyBorder="1" applyAlignment="1">
      <alignment horizontal="centerContinuous"/>
    </xf>
    <xf numFmtId="0" fontId="1" fillId="0" borderId="21" xfId="0" applyFont="1" applyBorder="1" applyAlignment="1">
      <alignment horizontal="centerContinuous"/>
    </xf>
    <xf numFmtId="0" fontId="130" fillId="0" borderId="32" xfId="0" applyFont="1" applyBorder="1" applyAlignment="1">
      <alignment horizontal="centerContinuous"/>
    </xf>
    <xf numFmtId="0" fontId="130" fillId="0" borderId="13" xfId="0" applyFont="1" applyBorder="1"/>
    <xf numFmtId="0" fontId="1" fillId="0" borderId="214" xfId="0" applyFont="1" applyBorder="1" applyAlignment="1">
      <alignment horizontal="centerContinuous"/>
    </xf>
    <xf numFmtId="0" fontId="1" fillId="0" borderId="95" xfId="0" applyFont="1" applyBorder="1" applyAlignment="1">
      <alignment horizontal="centerContinuous"/>
    </xf>
    <xf numFmtId="0" fontId="7" fillId="0" borderId="193" xfId="0" applyFont="1" applyBorder="1" applyAlignment="1">
      <alignment horizontal="center"/>
    </xf>
    <xf numFmtId="170" fontId="7" fillId="0" borderId="192" xfId="0" applyNumberFormat="1" applyFont="1" applyBorder="1" applyAlignment="1">
      <alignment horizontal="center"/>
    </xf>
    <xf numFmtId="0" fontId="1" fillId="0" borderId="34" xfId="0" applyFont="1" applyBorder="1" applyAlignment="1">
      <alignment horizontal="center"/>
    </xf>
    <xf numFmtId="0" fontId="124" fillId="0" borderId="29" xfId="0" applyFont="1" applyBorder="1" applyAlignment="1"/>
    <xf numFmtId="0" fontId="7" fillId="0" borderId="13" xfId="0" applyFont="1" applyBorder="1" applyAlignment="1"/>
    <xf numFmtId="170" fontId="1" fillId="0" borderId="114" xfId="0" applyNumberFormat="1" applyFont="1" applyBorder="1" applyAlignment="1">
      <alignment horizontal="center"/>
    </xf>
    <xf numFmtId="0" fontId="7" fillId="0" borderId="84" xfId="0" applyFont="1" applyBorder="1" applyAlignment="1"/>
    <xf numFmtId="170" fontId="7" fillId="0" borderId="42" xfId="0" applyNumberFormat="1" applyFont="1" applyBorder="1" applyAlignment="1">
      <alignment horizontal="center"/>
    </xf>
    <xf numFmtId="0" fontId="7" fillId="0" borderId="179" xfId="0" applyFont="1" applyBorder="1"/>
    <xf numFmtId="4" fontId="7" fillId="0" borderId="74" xfId="0" applyNumberFormat="1" applyFont="1" applyBorder="1" applyAlignment="1">
      <alignment horizontal="center"/>
    </xf>
    <xf numFmtId="0" fontId="131" fillId="0" borderId="0" xfId="0" applyFont="1" applyAlignment="1">
      <alignment horizontal="left" vertical="center" indent="1"/>
    </xf>
    <xf numFmtId="0" fontId="132" fillId="0" borderId="0" xfId="0" applyFont="1" applyAlignment="1">
      <alignment horizontal="left" vertical="center" indent="1"/>
    </xf>
    <xf numFmtId="0" fontId="89" fillId="0" borderId="0" xfId="0" applyFont="1" applyAlignment="1">
      <alignment horizontal="justify" vertical="center"/>
    </xf>
    <xf numFmtId="0" fontId="7" fillId="13" borderId="31" xfId="0" applyFont="1" applyFill="1" applyBorder="1" applyAlignment="1">
      <alignment horizontal="centerContinuous"/>
    </xf>
    <xf numFmtId="0" fontId="7" fillId="13" borderId="34" xfId="0" applyFont="1" applyFill="1" applyBorder="1" applyAlignment="1">
      <alignment horizontal="center"/>
    </xf>
    <xf numFmtId="0" fontId="1" fillId="13" borderId="79" xfId="0" applyFont="1" applyFill="1" applyBorder="1"/>
    <xf numFmtId="0" fontId="1" fillId="13" borderId="1" xfId="0" applyFont="1" applyFill="1" applyBorder="1"/>
    <xf numFmtId="0" fontId="7" fillId="13" borderId="1" xfId="0" applyFont="1" applyFill="1" applyBorder="1"/>
    <xf numFmtId="0" fontId="1" fillId="13" borderId="204" xfId="0" applyFont="1" applyFill="1" applyBorder="1" applyAlignment="1">
      <alignment horizontal="centerContinuous"/>
    </xf>
    <xf numFmtId="0" fontId="1" fillId="13" borderId="98" xfId="0" applyFont="1" applyFill="1" applyBorder="1" applyAlignment="1">
      <alignment horizontal="centerContinuous"/>
    </xf>
    <xf numFmtId="0" fontId="1" fillId="13" borderId="102" xfId="0" applyFont="1" applyFill="1" applyBorder="1"/>
    <xf numFmtId="0" fontId="1" fillId="13" borderId="7" xfId="0" applyFont="1" applyFill="1" applyBorder="1"/>
    <xf numFmtId="0" fontId="1" fillId="13" borderId="6" xfId="0" applyFont="1" applyFill="1" applyBorder="1"/>
    <xf numFmtId="0" fontId="1" fillId="13" borderId="170" xfId="0" applyFont="1" applyFill="1" applyBorder="1"/>
    <xf numFmtId="182" fontId="1" fillId="13" borderId="6" xfId="0" applyNumberFormat="1" applyFont="1" applyFill="1" applyBorder="1"/>
    <xf numFmtId="0" fontId="1" fillId="13" borderId="6" xfId="0" applyFont="1" applyFill="1" applyBorder="1" applyAlignment="1">
      <alignment horizontal="center"/>
    </xf>
    <xf numFmtId="0" fontId="1" fillId="13" borderId="2" xfId="0" applyFont="1" applyFill="1" applyBorder="1"/>
    <xf numFmtId="0" fontId="1" fillId="13" borderId="0" xfId="0" applyFont="1" applyFill="1" applyBorder="1"/>
    <xf numFmtId="0" fontId="1" fillId="13" borderId="0" xfId="0" applyFont="1" applyFill="1"/>
    <xf numFmtId="0" fontId="7" fillId="13" borderId="6" xfId="0" applyFont="1" applyFill="1" applyBorder="1"/>
    <xf numFmtId="0" fontId="7" fillId="0" borderId="32" xfId="0" applyFont="1" applyBorder="1" applyAlignment="1">
      <alignment horizontal="left" vertical="center"/>
    </xf>
    <xf numFmtId="0" fontId="7" fillId="0" borderId="176" xfId="0" applyFont="1" applyBorder="1" applyAlignment="1">
      <alignment horizontal="right" vertical="center"/>
    </xf>
    <xf numFmtId="44" fontId="72" fillId="0" borderId="11" xfId="1" applyNumberFormat="1" applyFont="1" applyFill="1" applyBorder="1" applyAlignment="1">
      <alignment vertical="center"/>
    </xf>
    <xf numFmtId="0" fontId="7" fillId="0" borderId="30" xfId="0" applyFont="1" applyBorder="1" applyAlignment="1">
      <alignment horizontal="right" vertical="center"/>
    </xf>
    <xf numFmtId="0" fontId="94" fillId="0" borderId="0" xfId="0" applyFont="1" applyFill="1" applyBorder="1" applyAlignment="1" applyProtection="1">
      <alignment vertical="center"/>
    </xf>
    <xf numFmtId="0" fontId="1" fillId="0" borderId="2" xfId="0" applyFont="1" applyBorder="1" applyAlignment="1">
      <alignment horizontal="left" vertical="center"/>
    </xf>
    <xf numFmtId="44" fontId="1" fillId="0" borderId="147" xfId="1" applyNumberFormat="1" applyFont="1" applyFill="1" applyBorder="1" applyAlignment="1">
      <alignment vertical="center"/>
    </xf>
    <xf numFmtId="9" fontId="4" fillId="0" borderId="0" xfId="0" applyNumberFormat="1" applyFont="1" applyBorder="1" applyAlignment="1" applyProtection="1">
      <alignment vertical="center"/>
    </xf>
    <xf numFmtId="0" fontId="16" fillId="0" borderId="0" xfId="0" applyFont="1" applyAlignment="1">
      <alignment horizontal="center" vertical="center"/>
    </xf>
    <xf numFmtId="0" fontId="1" fillId="0" borderId="0" xfId="0" applyFont="1" applyBorder="1" applyAlignment="1" applyProtection="1">
      <alignment horizontal="center" vertical="center"/>
    </xf>
    <xf numFmtId="44" fontId="1" fillId="0" borderId="0" xfId="0" applyNumberFormat="1" applyFont="1"/>
    <xf numFmtId="0" fontId="1" fillId="0" borderId="0" xfId="0" applyFont="1" applyAlignment="1">
      <alignment vertical="center"/>
    </xf>
    <xf numFmtId="170" fontId="1" fillId="0" borderId="0" xfId="0" applyNumberFormat="1" applyFont="1"/>
    <xf numFmtId="44" fontId="94" fillId="0" borderId="11" xfId="13" applyNumberFormat="1" applyFont="1" applyFill="1" applyBorder="1" applyAlignment="1" applyProtection="1">
      <alignment vertical="center"/>
    </xf>
    <xf numFmtId="0" fontId="134" fillId="0" borderId="17" xfId="0" applyFont="1" applyBorder="1" applyAlignment="1">
      <alignment horizontal="center" vertical="center"/>
    </xf>
    <xf numFmtId="0" fontId="0" fillId="0" borderId="9" xfId="0" applyBorder="1"/>
    <xf numFmtId="0" fontId="0" fillId="0" borderId="10" xfId="0" applyBorder="1"/>
    <xf numFmtId="0" fontId="67" fillId="0" borderId="2" xfId="0" applyFont="1" applyBorder="1" applyAlignment="1">
      <alignment vertical="center"/>
    </xf>
    <xf numFmtId="0" fontId="67" fillId="0" borderId="0" xfId="0" applyFont="1" applyBorder="1" applyAlignment="1">
      <alignment vertical="center"/>
    </xf>
    <xf numFmtId="0" fontId="43" fillId="0" borderId="0" xfId="17" applyFont="1" applyBorder="1" applyAlignment="1">
      <alignment vertical="center"/>
    </xf>
    <xf numFmtId="1" fontId="126" fillId="0" borderId="6" xfId="0" applyNumberFormat="1" applyFont="1" applyBorder="1" applyAlignment="1">
      <alignment horizontal="left" vertical="center"/>
    </xf>
    <xf numFmtId="0" fontId="0" fillId="0" borderId="14" xfId="0" applyBorder="1"/>
    <xf numFmtId="0" fontId="17" fillId="0" borderId="8" xfId="0" applyFont="1" applyBorder="1" applyAlignment="1">
      <alignment horizontal="left" vertical="center"/>
    </xf>
    <xf numFmtId="0" fontId="15" fillId="0" borderId="9" xfId="0" applyFont="1" applyBorder="1" applyAlignment="1">
      <alignment horizontal="right" vertical="center"/>
    </xf>
    <xf numFmtId="0" fontId="14" fillId="0" borderId="9" xfId="0" applyFont="1" applyBorder="1" applyAlignment="1">
      <alignment horizontal="left" vertical="center"/>
    </xf>
    <xf numFmtId="0" fontId="17" fillId="0" borderId="0" xfId="0" applyFont="1" applyBorder="1" applyAlignment="1">
      <alignment horizontal="left" vertical="center"/>
    </xf>
    <xf numFmtId="0" fontId="0" fillId="0" borderId="13" xfId="0" applyBorder="1"/>
    <xf numFmtId="0" fontId="0" fillId="0" borderId="88" xfId="0" applyBorder="1"/>
    <xf numFmtId="15" fontId="19" fillId="3" borderId="33" xfId="0" applyNumberFormat="1" applyFont="1" applyFill="1" applyBorder="1" applyAlignment="1" applyProtection="1">
      <alignment vertical="center"/>
      <protection locked="0"/>
    </xf>
    <xf numFmtId="43" fontId="19" fillId="3" borderId="24" xfId="0" applyNumberFormat="1" applyFont="1" applyFill="1" applyBorder="1" applyAlignment="1" applyProtection="1">
      <alignment vertical="center"/>
      <protection locked="0"/>
    </xf>
    <xf numFmtId="15" fontId="19" fillId="3" borderId="46" xfId="0" applyNumberFormat="1" applyFont="1" applyFill="1" applyBorder="1" applyAlignment="1" applyProtection="1">
      <alignment vertical="center"/>
      <protection locked="0"/>
    </xf>
    <xf numFmtId="15" fontId="19" fillId="3" borderId="174" xfId="0" applyNumberFormat="1" applyFont="1" applyFill="1" applyBorder="1" applyAlignment="1" applyProtection="1">
      <alignment vertical="center"/>
      <protection locked="0"/>
    </xf>
    <xf numFmtId="0" fontId="19" fillId="3" borderId="29" xfId="0" applyFont="1" applyFill="1" applyBorder="1" applyAlignment="1" applyProtection="1">
      <alignment vertical="center"/>
      <protection locked="0"/>
    </xf>
    <xf numFmtId="0" fontId="19" fillId="3" borderId="13" xfId="0" applyFont="1" applyFill="1" applyBorder="1" applyAlignment="1" applyProtection="1">
      <alignment vertical="center"/>
      <protection locked="0"/>
    </xf>
    <xf numFmtId="43" fontId="19" fillId="3" borderId="30" xfId="0" applyNumberFormat="1" applyFont="1" applyFill="1" applyBorder="1" applyAlignment="1" applyProtection="1">
      <alignment vertical="center"/>
      <protection locked="0"/>
    </xf>
    <xf numFmtId="0" fontId="7" fillId="0" borderId="79" xfId="0" applyFont="1" applyBorder="1" applyAlignment="1">
      <alignment horizontal="right" vertical="center"/>
    </xf>
    <xf numFmtId="43" fontId="7" fillId="0" borderId="177" xfId="0" applyNumberFormat="1" applyFont="1" applyBorder="1" applyAlignment="1">
      <alignment horizontal="right" vertical="center"/>
    </xf>
    <xf numFmtId="0" fontId="17" fillId="0" borderId="7" xfId="0" applyFont="1" applyBorder="1" applyAlignment="1">
      <alignment horizontal="left" vertical="center"/>
    </xf>
    <xf numFmtId="43" fontId="14" fillId="0" borderId="6" xfId="0" applyNumberFormat="1" applyFont="1" applyBorder="1" applyAlignment="1">
      <alignment vertical="center"/>
    </xf>
    <xf numFmtId="44" fontId="1" fillId="0" borderId="6" xfId="0" applyNumberFormat="1" applyFont="1" applyBorder="1" applyAlignment="1">
      <alignment vertical="center"/>
    </xf>
    <xf numFmtId="0" fontId="113" fillId="0" borderId="171" xfId="0" applyFont="1" applyBorder="1"/>
    <xf numFmtId="0" fontId="0" fillId="0" borderId="165" xfId="0" applyBorder="1"/>
    <xf numFmtId="0" fontId="0" fillId="0" borderId="117" xfId="0" applyBorder="1"/>
    <xf numFmtId="0" fontId="7" fillId="0" borderId="24" xfId="0" applyFont="1" applyBorder="1" applyAlignment="1">
      <alignment horizontal="center" vertical="center"/>
    </xf>
    <xf numFmtId="0" fontId="7" fillId="0" borderId="30" xfId="0" applyFont="1" applyBorder="1" applyAlignment="1">
      <alignment horizontal="center" vertical="center"/>
    </xf>
    <xf numFmtId="0" fontId="1" fillId="14" borderId="224" xfId="0" applyFont="1" applyFill="1" applyBorder="1" applyAlignment="1">
      <alignment wrapText="1"/>
    </xf>
    <xf numFmtId="184" fontId="1" fillId="14" borderId="193" xfId="0" quotePrefix="1" applyNumberFormat="1" applyFont="1" applyFill="1" applyBorder="1"/>
    <xf numFmtId="49" fontId="1" fillId="14" borderId="193" xfId="0" quotePrefix="1" applyNumberFormat="1" applyFont="1" applyFill="1" applyBorder="1"/>
    <xf numFmtId="49" fontId="1" fillId="14" borderId="193" xfId="0" applyNumberFormat="1" applyFont="1" applyFill="1" applyBorder="1"/>
    <xf numFmtId="184" fontId="1" fillId="14" borderId="193" xfId="0" quotePrefix="1" applyNumberFormat="1" applyFont="1" applyFill="1" applyBorder="1" applyAlignment="1">
      <alignment horizontal="center"/>
    </xf>
    <xf numFmtId="49" fontId="1" fillId="14" borderId="193" xfId="0" applyNumberFormat="1" applyFont="1" applyFill="1" applyBorder="1" applyAlignment="1">
      <alignment horizontal="center"/>
    </xf>
    <xf numFmtId="2" fontId="1" fillId="0" borderId="193" xfId="0" applyNumberFormat="1" applyFont="1" applyBorder="1"/>
    <xf numFmtId="170" fontId="19" fillId="3" borderId="193" xfId="0" applyNumberFormat="1" applyFont="1" applyFill="1" applyBorder="1" applyAlignment="1" applyProtection="1">
      <alignment vertical="center"/>
      <protection locked="0"/>
    </xf>
    <xf numFmtId="0" fontId="0" fillId="14" borderId="225" xfId="0" applyFill="1" applyBorder="1"/>
    <xf numFmtId="184" fontId="1" fillId="14" borderId="194" xfId="0" quotePrefix="1" applyNumberFormat="1" applyFont="1" applyFill="1" applyBorder="1"/>
    <xf numFmtId="49" fontId="1" fillId="14" borderId="194" xfId="0" quotePrefix="1" applyNumberFormat="1" applyFont="1" applyFill="1" applyBorder="1"/>
    <xf numFmtId="49" fontId="1" fillId="14" borderId="194" xfId="0" applyNumberFormat="1" applyFont="1" applyFill="1" applyBorder="1"/>
    <xf numFmtId="49" fontId="1" fillId="14" borderId="194" xfId="0" applyNumberFormat="1" applyFont="1" applyFill="1" applyBorder="1" applyAlignment="1">
      <alignment horizontal="center"/>
    </xf>
    <xf numFmtId="184" fontId="1" fillId="14" borderId="194" xfId="0" quotePrefix="1" applyNumberFormat="1" applyFont="1" applyFill="1" applyBorder="1" applyAlignment="1">
      <alignment horizontal="center"/>
    </xf>
    <xf numFmtId="49" fontId="0" fillId="14" borderId="194" xfId="0" applyNumberFormat="1" applyFill="1" applyBorder="1"/>
    <xf numFmtId="2" fontId="1" fillId="0" borderId="194" xfId="0" applyNumberFormat="1" applyFont="1" applyBorder="1"/>
    <xf numFmtId="170" fontId="19" fillId="3" borderId="194" xfId="0" applyNumberFormat="1" applyFont="1" applyFill="1" applyBorder="1" applyAlignment="1" applyProtection="1">
      <alignment vertical="center"/>
      <protection locked="0"/>
    </xf>
    <xf numFmtId="49" fontId="7" fillId="14" borderId="194" xfId="0" applyNumberFormat="1" applyFont="1" applyFill="1" applyBorder="1" applyAlignment="1">
      <alignment horizontal="center"/>
    </xf>
    <xf numFmtId="49" fontId="7" fillId="14" borderId="194" xfId="0" applyNumberFormat="1" applyFont="1" applyFill="1" applyBorder="1"/>
    <xf numFmtId="49" fontId="1" fillId="14" borderId="194" xfId="0" quotePrefix="1" applyNumberFormat="1" applyFont="1" applyFill="1" applyBorder="1" applyAlignment="1">
      <alignment horizontal="center"/>
    </xf>
    <xf numFmtId="184" fontId="1" fillId="14" borderId="228" xfId="0" quotePrefix="1" applyNumberFormat="1" applyFont="1" applyFill="1" applyBorder="1"/>
    <xf numFmtId="49" fontId="19" fillId="14" borderId="228" xfId="0" applyNumberFormat="1" applyFont="1" applyFill="1" applyBorder="1" applyAlignment="1" applyProtection="1">
      <alignment vertical="center"/>
      <protection locked="0"/>
    </xf>
    <xf numFmtId="184" fontId="1" fillId="14" borderId="228" xfId="0" quotePrefix="1" applyNumberFormat="1" applyFont="1" applyFill="1" applyBorder="1" applyAlignment="1">
      <alignment horizontal="center"/>
    </xf>
    <xf numFmtId="49" fontId="19" fillId="14" borderId="228" xfId="0" applyNumberFormat="1" applyFont="1" applyFill="1" applyBorder="1" applyAlignment="1" applyProtection="1">
      <alignment vertical="center"/>
    </xf>
    <xf numFmtId="2" fontId="1" fillId="0" borderId="228" xfId="0" applyNumberFormat="1" applyFont="1" applyBorder="1"/>
    <xf numFmtId="170" fontId="19" fillId="3" borderId="228" xfId="0" applyNumberFormat="1" applyFont="1" applyFill="1" applyBorder="1" applyAlignment="1" applyProtection="1">
      <alignment vertical="center"/>
      <protection locked="0"/>
    </xf>
    <xf numFmtId="43" fontId="7" fillId="0" borderId="44" xfId="0" applyNumberFormat="1" applyFont="1" applyBorder="1" applyAlignment="1">
      <alignment horizontal="right" vertical="center"/>
    </xf>
    <xf numFmtId="43" fontId="7" fillId="0" borderId="9" xfId="0" applyNumberFormat="1" applyFont="1" applyBorder="1" applyAlignment="1">
      <alignment horizontal="right" vertical="center"/>
    </xf>
    <xf numFmtId="0" fontId="14" fillId="0" borderId="17" xfId="0" applyFont="1" applyBorder="1" applyAlignment="1">
      <alignment vertical="center"/>
    </xf>
    <xf numFmtId="0" fontId="0" fillId="0" borderId="17" xfId="0" applyBorder="1"/>
    <xf numFmtId="44" fontId="1" fillId="0" borderId="11" xfId="0" applyNumberFormat="1" applyFont="1" applyBorder="1" applyAlignment="1">
      <alignment vertical="center"/>
    </xf>
    <xf numFmtId="44" fontId="1" fillId="0" borderId="145" xfId="0" applyNumberFormat="1" applyFont="1" applyBorder="1" applyAlignment="1">
      <alignment vertical="center"/>
    </xf>
    <xf numFmtId="0" fontId="7" fillId="0" borderId="28" xfId="0" applyFont="1" applyBorder="1" applyAlignment="1">
      <alignment horizontal="right" vertical="center"/>
    </xf>
    <xf numFmtId="185" fontId="19" fillId="3" borderId="22" xfId="0" applyNumberFormat="1" applyFont="1" applyFill="1" applyBorder="1" applyAlignment="1" applyProtection="1">
      <alignment vertical="center"/>
      <protection locked="0"/>
    </xf>
    <xf numFmtId="185" fontId="19" fillId="3" borderId="33" xfId="0" applyNumberFormat="1" applyFont="1" applyFill="1" applyBorder="1" applyAlignment="1" applyProtection="1">
      <alignment vertical="center"/>
      <protection locked="0"/>
    </xf>
    <xf numFmtId="49" fontId="19" fillId="3" borderId="24" xfId="0" applyNumberFormat="1" applyFont="1" applyFill="1" applyBorder="1" applyAlignment="1" applyProtection="1">
      <alignment vertical="center"/>
      <protection locked="0"/>
    </xf>
    <xf numFmtId="49" fontId="19" fillId="3" borderId="47" xfId="0" applyNumberFormat="1" applyFont="1" applyFill="1" applyBorder="1" applyAlignment="1" applyProtection="1">
      <alignment vertical="center"/>
      <protection locked="0"/>
    </xf>
    <xf numFmtId="49" fontId="19" fillId="3" borderId="32" xfId="0" applyNumberFormat="1" applyFont="1" applyFill="1" applyBorder="1" applyAlignment="1" applyProtection="1">
      <alignment vertical="center"/>
      <protection locked="0"/>
    </xf>
    <xf numFmtId="49" fontId="19" fillId="3" borderId="33" xfId="0" applyNumberFormat="1" applyFont="1" applyFill="1" applyBorder="1" applyAlignment="1" applyProtection="1">
      <alignment vertical="center"/>
      <protection locked="0"/>
    </xf>
    <xf numFmtId="7" fontId="19" fillId="3" borderId="24" xfId="0" applyNumberFormat="1" applyFont="1" applyFill="1" applyBorder="1" applyAlignment="1" applyProtection="1">
      <alignment vertical="center"/>
      <protection locked="0"/>
    </xf>
    <xf numFmtId="3" fontId="19" fillId="3" borderId="24" xfId="0" applyNumberFormat="1" applyFont="1" applyFill="1" applyBorder="1" applyAlignment="1" applyProtection="1">
      <alignment vertical="center"/>
      <protection locked="0"/>
    </xf>
    <xf numFmtId="185" fontId="19" fillId="3" borderId="25" xfId="0" applyNumberFormat="1" applyFont="1" applyFill="1" applyBorder="1" applyAlignment="1" applyProtection="1">
      <alignment vertical="center"/>
      <protection locked="0"/>
    </xf>
    <xf numFmtId="185" fontId="19" fillId="3" borderId="46" xfId="0" applyNumberFormat="1" applyFont="1" applyFill="1" applyBorder="1" applyAlignment="1" applyProtection="1">
      <alignment vertical="center"/>
      <protection locked="0"/>
    </xf>
    <xf numFmtId="49" fontId="19" fillId="3" borderId="27" xfId="0" applyNumberFormat="1" applyFont="1" applyFill="1" applyBorder="1" applyAlignment="1" applyProtection="1">
      <alignment vertical="center"/>
      <protection locked="0"/>
    </xf>
    <xf numFmtId="49" fontId="19" fillId="3" borderId="26" xfId="0" applyNumberFormat="1" applyFont="1" applyFill="1" applyBorder="1" applyAlignment="1" applyProtection="1">
      <alignment vertical="center"/>
      <protection locked="0"/>
    </xf>
    <xf numFmtId="49" fontId="19" fillId="3" borderId="41" xfId="0" applyNumberFormat="1" applyFont="1" applyFill="1" applyBorder="1" applyAlignment="1" applyProtection="1">
      <alignment vertical="center"/>
      <protection locked="0"/>
    </xf>
    <xf numFmtId="49" fontId="19" fillId="3" borderId="46" xfId="0" applyNumberFormat="1" applyFont="1" applyFill="1" applyBorder="1" applyAlignment="1" applyProtection="1">
      <alignment vertical="center"/>
      <protection locked="0"/>
    </xf>
    <xf numFmtId="7" fontId="19" fillId="3" borderId="27" xfId="0" applyNumberFormat="1" applyFont="1" applyFill="1" applyBorder="1" applyAlignment="1" applyProtection="1">
      <alignment vertical="center"/>
      <protection locked="0"/>
    </xf>
    <xf numFmtId="3" fontId="19" fillId="3" borderId="27" xfId="0" applyNumberFormat="1" applyFont="1" applyFill="1" applyBorder="1" applyAlignment="1" applyProtection="1">
      <alignment vertical="center"/>
      <protection locked="0"/>
    </xf>
    <xf numFmtId="185" fontId="19" fillId="3" borderId="28" xfId="0" applyNumberFormat="1" applyFont="1" applyFill="1" applyBorder="1" applyAlignment="1" applyProtection="1">
      <alignment vertical="center"/>
      <protection locked="0"/>
    </xf>
    <xf numFmtId="185" fontId="19" fillId="3" borderId="174" xfId="0" applyNumberFormat="1" applyFont="1" applyFill="1" applyBorder="1" applyAlignment="1" applyProtection="1">
      <alignment vertical="center"/>
      <protection locked="0"/>
    </xf>
    <xf numFmtId="49" fontId="19" fillId="3" borderId="30" xfId="0" applyNumberFormat="1"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13" xfId="0" applyNumberFormat="1" applyFont="1" applyFill="1" applyBorder="1" applyAlignment="1" applyProtection="1">
      <alignment vertical="center"/>
      <protection locked="0"/>
    </xf>
    <xf numFmtId="49" fontId="19" fillId="3" borderId="174" xfId="0" applyNumberFormat="1" applyFont="1" applyFill="1" applyBorder="1" applyAlignment="1" applyProtection="1">
      <alignment vertical="center"/>
      <protection locked="0"/>
    </xf>
    <xf numFmtId="7" fontId="19" fillId="3" borderId="30" xfId="0" applyNumberFormat="1" applyFont="1" applyFill="1" applyBorder="1" applyAlignment="1" applyProtection="1">
      <alignment vertical="center"/>
      <protection locked="0"/>
    </xf>
    <xf numFmtId="3" fontId="19" fillId="3" borderId="30" xfId="0" applyNumberFormat="1" applyFont="1" applyFill="1" applyBorder="1" applyAlignment="1" applyProtection="1">
      <alignment vertical="center"/>
      <protection locked="0"/>
    </xf>
    <xf numFmtId="0" fontId="17" fillId="0" borderId="2" xfId="0" applyFont="1" applyBorder="1" applyAlignment="1">
      <alignment vertical="center"/>
    </xf>
    <xf numFmtId="0" fontId="17" fillId="0" borderId="0" xfId="0" applyFont="1" applyBorder="1" applyAlignment="1">
      <alignment vertical="center"/>
    </xf>
    <xf numFmtId="44" fontId="1" fillId="0" borderId="9" xfId="0" applyNumberFormat="1" applyFont="1" applyBorder="1" applyAlignment="1">
      <alignment vertical="center"/>
    </xf>
    <xf numFmtId="0" fontId="17" fillId="0" borderId="19" xfId="0" applyFont="1" applyBorder="1" applyAlignment="1">
      <alignment horizontal="centerContinuous" vertical="center"/>
    </xf>
    <xf numFmtId="0" fontId="0" fillId="14" borderId="19" xfId="0" applyFill="1" applyBorder="1"/>
    <xf numFmtId="2" fontId="19" fillId="3" borderId="24" xfId="0" applyNumberFormat="1" applyFont="1" applyFill="1" applyBorder="1" applyAlignment="1" applyProtection="1">
      <alignment vertical="center"/>
      <protection locked="0"/>
    </xf>
    <xf numFmtId="2" fontId="19" fillId="3" borderId="140" xfId="0" applyNumberFormat="1" applyFont="1" applyFill="1" applyBorder="1" applyAlignment="1" applyProtection="1">
      <alignment vertical="center"/>
      <protection locked="0"/>
    </xf>
    <xf numFmtId="2" fontId="19" fillId="3" borderId="27" xfId="0" applyNumberFormat="1" applyFont="1" applyFill="1" applyBorder="1" applyAlignment="1" applyProtection="1">
      <alignment vertical="center"/>
      <protection locked="0"/>
    </xf>
    <xf numFmtId="2" fontId="19" fillId="3" borderId="30" xfId="0" applyNumberFormat="1" applyFont="1" applyFill="1" applyBorder="1" applyAlignment="1" applyProtection="1">
      <alignment vertical="center"/>
      <protection locked="0"/>
    </xf>
    <xf numFmtId="44" fontId="1" fillId="0" borderId="14" xfId="0" applyNumberFormat="1" applyFont="1" applyBorder="1" applyAlignment="1">
      <alignment vertical="center"/>
    </xf>
    <xf numFmtId="14" fontId="19" fillId="3" borderId="63" xfId="0" applyNumberFormat="1" applyFont="1" applyFill="1" applyBorder="1" applyAlignment="1" applyProtection="1">
      <alignment vertical="center"/>
      <protection locked="0"/>
    </xf>
    <xf numFmtId="44" fontId="7" fillId="0" borderId="0" xfId="1" applyFont="1" applyBorder="1" applyAlignment="1">
      <alignment horizontal="right" vertical="center"/>
    </xf>
    <xf numFmtId="0" fontId="0" fillId="0" borderId="7" xfId="0" applyBorder="1"/>
    <xf numFmtId="0" fontId="7" fillId="0" borderId="6" xfId="0" applyFont="1" applyFill="1" applyBorder="1" applyAlignment="1">
      <alignment horizontal="right" vertical="center"/>
    </xf>
    <xf numFmtId="44" fontId="135" fillId="0" borderId="74" xfId="0" applyNumberFormat="1" applyFont="1" applyBorder="1"/>
    <xf numFmtId="0" fontId="0" fillId="0" borderId="0" xfId="0" applyAlignment="1">
      <alignment wrapText="1"/>
    </xf>
    <xf numFmtId="0" fontId="19" fillId="3" borderId="22" xfId="0" applyFont="1" applyFill="1" applyBorder="1" applyAlignment="1" applyProtection="1">
      <alignment horizontal="center" vertical="center"/>
      <protection locked="0"/>
    </xf>
    <xf numFmtId="44" fontId="1" fillId="0" borderId="75" xfId="1" applyFont="1" applyBorder="1" applyAlignment="1">
      <alignment vertical="center"/>
    </xf>
    <xf numFmtId="0" fontId="19" fillId="3" borderId="25" xfId="0" applyFont="1" applyFill="1" applyBorder="1" applyAlignment="1" applyProtection="1">
      <alignment horizontal="center" vertical="center"/>
      <protection locked="0"/>
    </xf>
    <xf numFmtId="44" fontId="1" fillId="0" borderId="142" xfId="1" applyFont="1" applyBorder="1" applyAlignment="1">
      <alignment vertical="center"/>
    </xf>
    <xf numFmtId="0" fontId="19" fillId="3" borderId="28" xfId="0" applyFont="1" applyFill="1" applyBorder="1" applyAlignment="1" applyProtection="1">
      <alignment horizontal="center" vertical="center"/>
      <protection locked="0"/>
    </xf>
    <xf numFmtId="44" fontId="1" fillId="0" borderId="143" xfId="1" applyFont="1" applyBorder="1" applyAlignment="1">
      <alignment vertical="center"/>
    </xf>
    <xf numFmtId="44" fontId="7" fillId="0" borderId="15" xfId="1" applyFont="1" applyBorder="1" applyAlignment="1">
      <alignment vertical="center"/>
    </xf>
    <xf numFmtId="44" fontId="72" fillId="3" borderId="129" xfId="1" applyFont="1" applyFill="1" applyBorder="1" applyAlignment="1">
      <alignment vertical="center"/>
    </xf>
    <xf numFmtId="44" fontId="1" fillId="0" borderId="205" xfId="1" applyFont="1" applyBorder="1" applyAlignment="1">
      <alignment vertical="center"/>
    </xf>
    <xf numFmtId="44" fontId="1" fillId="0" borderId="226" xfId="1" applyFont="1" applyBorder="1" applyAlignment="1">
      <alignment vertical="center"/>
    </xf>
    <xf numFmtId="0" fontId="19" fillId="14" borderId="227" xfId="0" applyFont="1" applyFill="1" applyBorder="1" applyAlignment="1" applyProtection="1">
      <alignment horizontal="center" vertical="center"/>
      <protection locked="0"/>
    </xf>
    <xf numFmtId="44" fontId="1" fillId="0" borderId="229" xfId="1" applyFont="1" applyBorder="1" applyAlignment="1">
      <alignment vertical="center"/>
    </xf>
    <xf numFmtId="44" fontId="7" fillId="0" borderId="74" xfId="1" applyFont="1" applyBorder="1" applyAlignment="1">
      <alignment vertical="center"/>
    </xf>
    <xf numFmtId="44" fontId="1" fillId="0" borderId="137" xfId="1" applyFont="1" applyBorder="1" applyAlignment="1">
      <alignment vertical="center"/>
    </xf>
    <xf numFmtId="44" fontId="7" fillId="0" borderId="114" xfId="1" applyFont="1" applyBorder="1" applyAlignment="1">
      <alignment vertical="center"/>
    </xf>
    <xf numFmtId="44" fontId="72" fillId="3" borderId="136" xfId="1" applyFont="1" applyFill="1" applyBorder="1" applyAlignment="1">
      <alignment vertical="center"/>
    </xf>
    <xf numFmtId="44" fontId="72" fillId="0" borderId="6" xfId="1" applyFont="1" applyFill="1" applyBorder="1" applyAlignment="1">
      <alignment vertical="center"/>
    </xf>
    <xf numFmtId="44" fontId="19" fillId="3" borderId="75" xfId="1" applyFont="1" applyFill="1" applyBorder="1" applyAlignment="1" applyProtection="1">
      <alignment vertical="center"/>
      <protection locked="0"/>
    </xf>
    <xf numFmtId="44" fontId="19" fillId="3" borderId="142" xfId="1" applyFont="1" applyFill="1" applyBorder="1" applyAlignment="1" applyProtection="1">
      <alignment vertical="center"/>
      <protection locked="0"/>
    </xf>
    <xf numFmtId="44" fontId="19" fillId="3" borderId="143" xfId="1" applyFont="1" applyFill="1" applyBorder="1" applyAlignment="1" applyProtection="1">
      <alignment vertical="center"/>
      <protection locked="0"/>
    </xf>
    <xf numFmtId="44" fontId="6" fillId="0" borderId="147" xfId="1" applyFont="1" applyBorder="1" applyAlignment="1" applyProtection="1">
      <alignment vertical="center"/>
    </xf>
    <xf numFmtId="44" fontId="72" fillId="0" borderId="129" xfId="1" applyFont="1" applyFill="1" applyBorder="1" applyAlignment="1">
      <alignment vertical="center"/>
    </xf>
    <xf numFmtId="0" fontId="22" fillId="0" borderId="0" xfId="0" applyFont="1" applyFill="1" applyBorder="1" applyAlignment="1" applyProtection="1">
      <alignment vertical="center"/>
    </xf>
    <xf numFmtId="43" fontId="14" fillId="0" borderId="9" xfId="0" applyNumberFormat="1" applyFont="1" applyBorder="1" applyAlignment="1">
      <alignment vertical="center"/>
    </xf>
    <xf numFmtId="44" fontId="1" fillId="0" borderId="10" xfId="0" applyNumberFormat="1" applyFont="1" applyBorder="1" applyAlignment="1">
      <alignment vertical="center"/>
    </xf>
    <xf numFmtId="0" fontId="7" fillId="0" borderId="19" xfId="0" applyFont="1" applyBorder="1" applyAlignment="1">
      <alignment horizontal="center" vertical="center" wrapText="1"/>
    </xf>
    <xf numFmtId="0" fontId="15" fillId="0" borderId="2" xfId="0" applyFont="1" applyBorder="1" applyAlignment="1">
      <alignment horizontal="right" vertical="center"/>
    </xf>
    <xf numFmtId="0" fontId="15" fillId="0" borderId="0" xfId="0" applyFont="1" applyBorder="1" applyAlignment="1">
      <alignment horizontal="right" vertical="center"/>
    </xf>
    <xf numFmtId="44" fontId="1" fillId="0" borderId="0" xfId="0" applyNumberFormat="1" applyFont="1" applyAlignment="1">
      <alignment vertical="center"/>
    </xf>
    <xf numFmtId="0" fontId="25" fillId="0" borderId="16" xfId="0" applyFont="1" applyBorder="1" applyAlignment="1">
      <alignment vertical="center"/>
    </xf>
    <xf numFmtId="0" fontId="82" fillId="0" borderId="16" xfId="0" applyFont="1" applyBorder="1" applyAlignment="1">
      <alignment vertical="center"/>
    </xf>
    <xf numFmtId="0" fontId="82" fillId="0" borderId="16" xfId="0" applyFont="1" applyBorder="1" applyAlignment="1">
      <alignment horizontal="left" vertical="center"/>
    </xf>
    <xf numFmtId="44" fontId="72" fillId="0" borderId="115" xfId="1" applyNumberFormat="1" applyFont="1" applyFill="1" applyBorder="1" applyAlignment="1">
      <alignment vertical="center"/>
    </xf>
    <xf numFmtId="0" fontId="17" fillId="0" borderId="6" xfId="0" applyFont="1" applyBorder="1" applyAlignment="1">
      <alignment horizontal="right"/>
    </xf>
    <xf numFmtId="44" fontId="17" fillId="0" borderId="14" xfId="0" applyNumberFormat="1" applyFont="1" applyBorder="1"/>
    <xf numFmtId="44" fontId="7" fillId="0" borderId="15" xfId="1" applyFont="1" applyFill="1" applyBorder="1" applyAlignment="1">
      <alignment vertical="center"/>
    </xf>
    <xf numFmtId="44" fontId="22" fillId="3" borderId="139" xfId="1" applyFont="1" applyFill="1" applyBorder="1" applyAlignment="1">
      <alignment vertical="center"/>
    </xf>
    <xf numFmtId="44" fontId="22" fillId="0" borderId="143" xfId="1" applyFont="1" applyFill="1" applyBorder="1" applyAlignment="1">
      <alignment vertical="center"/>
    </xf>
    <xf numFmtId="0" fontId="1" fillId="0" borderId="12" xfId="0" applyFont="1" applyBorder="1"/>
    <xf numFmtId="43" fontId="1" fillId="0" borderId="0" xfId="0" applyNumberFormat="1" applyFont="1" applyAlignment="1">
      <alignment vertical="center"/>
    </xf>
    <xf numFmtId="170" fontId="4" fillId="0" borderId="0" xfId="0" applyNumberFormat="1" applyFont="1" applyBorder="1"/>
    <xf numFmtId="44" fontId="94" fillId="0" borderId="88" xfId="13" applyNumberFormat="1" applyFont="1" applyFill="1" applyBorder="1" applyAlignment="1" applyProtection="1">
      <alignment vertical="center"/>
    </xf>
    <xf numFmtId="0" fontId="15" fillId="0" borderId="21" xfId="0" applyFont="1" applyBorder="1" applyAlignment="1">
      <alignment horizontal="center" vertical="center" wrapText="1"/>
    </xf>
    <xf numFmtId="0" fontId="15" fillId="0" borderId="19" xfId="0" applyFont="1" applyBorder="1" applyAlignment="1">
      <alignment horizontal="center" vertical="center" wrapText="1"/>
    </xf>
    <xf numFmtId="170" fontId="15" fillId="0" borderId="42" xfId="0" applyNumberFormat="1" applyFont="1" applyBorder="1" applyAlignment="1">
      <alignment horizontal="center" vertical="center" wrapText="1"/>
    </xf>
    <xf numFmtId="0" fontId="7" fillId="0" borderId="32" xfId="0" applyFont="1" applyBorder="1" applyAlignment="1">
      <alignment horizontal="centerContinuous"/>
    </xf>
    <xf numFmtId="0" fontId="7" fillId="0" borderId="47" xfId="0" applyFont="1" applyBorder="1" applyAlignment="1">
      <alignment horizontal="centerContinuous"/>
    </xf>
    <xf numFmtId="43" fontId="5" fillId="0" borderId="84" xfId="0" applyNumberFormat="1" applyFont="1" applyFill="1" applyBorder="1" applyAlignment="1" applyProtection="1">
      <alignment vertical="center"/>
    </xf>
    <xf numFmtId="176" fontId="24" fillId="2" borderId="14" xfId="0" applyNumberFormat="1" applyFont="1" applyFill="1" applyBorder="1" applyAlignment="1" applyProtection="1">
      <alignment horizontal="right"/>
    </xf>
    <xf numFmtId="0" fontId="96" fillId="0" borderId="8" xfId="0" applyFont="1" applyBorder="1" applyAlignment="1">
      <alignment horizontal="left" vertical="center"/>
    </xf>
    <xf numFmtId="176" fontId="17" fillId="3" borderId="30" xfId="0" applyNumberFormat="1" applyFont="1" applyFill="1" applyBorder="1" applyAlignment="1" applyProtection="1">
      <alignment horizontal="left" vertical="center"/>
      <protection locked="0"/>
    </xf>
    <xf numFmtId="170" fontId="57" fillId="4" borderId="57" xfId="0" applyNumberFormat="1" applyFont="1" applyFill="1" applyBorder="1" applyAlignment="1" applyProtection="1">
      <alignment horizontal="center" vertical="center"/>
    </xf>
    <xf numFmtId="0" fontId="57" fillId="4" borderId="158" xfId="0" applyFont="1" applyFill="1" applyBorder="1" applyAlignment="1" applyProtection="1">
      <alignment horizontal="center" vertical="center"/>
    </xf>
    <xf numFmtId="44" fontId="4" fillId="0" borderId="57" xfId="0" applyNumberFormat="1" applyFont="1" applyFill="1" applyBorder="1" applyAlignment="1" applyProtection="1">
      <alignment horizontal="right" vertical="center"/>
    </xf>
    <xf numFmtId="44" fontId="4" fillId="0" borderId="59" xfId="0" applyNumberFormat="1" applyFont="1" applyFill="1" applyBorder="1" applyAlignment="1" applyProtection="1">
      <alignment horizontal="right" vertical="center"/>
    </xf>
    <xf numFmtId="44" fontId="4" fillId="3" borderId="230" xfId="0" applyNumberFormat="1" applyFont="1" applyFill="1" applyBorder="1" applyAlignment="1" applyProtection="1">
      <alignment horizontal="right" vertical="center"/>
      <protection locked="0"/>
    </xf>
    <xf numFmtId="44" fontId="4" fillId="3" borderId="15" xfId="0" applyNumberFormat="1" applyFont="1" applyFill="1" applyBorder="1" applyAlignment="1" applyProtection="1">
      <alignment horizontal="right" vertical="center"/>
      <protection locked="0"/>
    </xf>
    <xf numFmtId="0" fontId="9" fillId="0" borderId="84" xfId="0" applyFont="1" applyFill="1" applyBorder="1" applyAlignment="1" applyProtection="1">
      <alignment horizontal="center" vertical="center" wrapText="1"/>
    </xf>
    <xf numFmtId="43" fontId="19" fillId="3" borderId="231" xfId="0" applyNumberFormat="1" applyFont="1" applyFill="1" applyBorder="1" applyAlignment="1" applyProtection="1">
      <alignment vertical="center"/>
      <protection locked="0"/>
    </xf>
    <xf numFmtId="43" fontId="1" fillId="14" borderId="73" xfId="0" applyNumberFormat="1" applyFont="1" applyFill="1" applyBorder="1" applyAlignment="1" applyProtection="1">
      <alignment vertical="center"/>
      <protection locked="0"/>
    </xf>
    <xf numFmtId="0" fontId="29" fillId="0" borderId="19" xfId="0" applyFont="1" applyBorder="1" applyAlignment="1">
      <alignment horizontal="center" vertical="center"/>
    </xf>
    <xf numFmtId="0" fontId="118" fillId="0" borderId="19" xfId="0" applyFont="1" applyBorder="1" applyAlignment="1">
      <alignment horizontal="center" vertical="center"/>
    </xf>
    <xf numFmtId="44" fontId="118" fillId="0" borderId="19" xfId="0" applyNumberFormat="1" applyFont="1" applyBorder="1" applyAlignment="1">
      <alignment horizontal="center" vertical="center"/>
    </xf>
    <xf numFmtId="44" fontId="25" fillId="0" borderId="88" xfId="0" applyNumberFormat="1" applyFont="1" applyFill="1" applyBorder="1" applyAlignment="1" applyProtection="1">
      <alignment vertical="center"/>
    </xf>
    <xf numFmtId="44" fontId="21" fillId="0" borderId="10" xfId="0" applyNumberFormat="1" applyFont="1" applyFill="1" applyBorder="1" applyAlignment="1" applyProtection="1">
      <alignment vertical="center"/>
    </xf>
    <xf numFmtId="44" fontId="21" fillId="0" borderId="11" xfId="0" applyNumberFormat="1" applyFont="1" applyFill="1" applyBorder="1" applyAlignment="1" applyProtection="1">
      <alignment vertical="center"/>
    </xf>
    <xf numFmtId="2" fontId="0" fillId="0" borderId="0" xfId="0" applyNumberFormat="1"/>
    <xf numFmtId="44" fontId="0" fillId="0" borderId="0" xfId="0" applyNumberFormat="1"/>
    <xf numFmtId="0" fontId="14" fillId="0" borderId="0" xfId="0" applyFont="1" applyBorder="1" applyAlignment="1">
      <alignment horizontal="right" vertical="center"/>
    </xf>
    <xf numFmtId="0" fontId="14" fillId="0" borderId="0" xfId="0" applyFont="1" applyBorder="1" applyAlignment="1">
      <alignment vertical="center"/>
    </xf>
    <xf numFmtId="0" fontId="14" fillId="0" borderId="21" xfId="0" applyFont="1" applyBorder="1" applyAlignment="1">
      <alignment vertical="center"/>
    </xf>
    <xf numFmtId="0" fontId="17" fillId="0" borderId="0" xfId="0" applyFont="1" applyBorder="1" applyAlignment="1">
      <alignment horizontal="right" vertical="center"/>
    </xf>
    <xf numFmtId="0" fontId="17" fillId="0" borderId="84" xfId="0" applyFont="1" applyBorder="1" applyAlignment="1">
      <alignment horizontal="center" vertical="center" wrapText="1"/>
    </xf>
    <xf numFmtId="0" fontId="0" fillId="0" borderId="99" xfId="0" applyBorder="1" applyAlignment="1">
      <alignment horizontal="center" vertical="center" wrapText="1"/>
    </xf>
    <xf numFmtId="0" fontId="17" fillId="0" borderId="19" xfId="0" applyFont="1" applyBorder="1" applyAlignment="1">
      <alignment horizontal="center" vertical="center" wrapText="1"/>
    </xf>
    <xf numFmtId="0" fontId="19" fillId="3" borderId="26"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19" fillId="3" borderId="41" xfId="0" applyFont="1" applyFill="1" applyBorder="1" applyAlignment="1" applyProtection="1">
      <alignment vertical="center"/>
      <protection locked="0"/>
    </xf>
    <xf numFmtId="0" fontId="95" fillId="0" borderId="0" xfId="0" applyFont="1" applyAlignment="1">
      <alignment vertical="center" wrapText="1"/>
    </xf>
    <xf numFmtId="0" fontId="137" fillId="0" borderId="0" xfId="0" applyFont="1" applyAlignment="1">
      <alignment vertical="center" wrapText="1"/>
    </xf>
    <xf numFmtId="9" fontId="4" fillId="0" borderId="0" xfId="15" applyFont="1" applyBorder="1" applyAlignment="1" applyProtection="1">
      <alignment vertical="center"/>
    </xf>
    <xf numFmtId="0" fontId="16" fillId="0" borderId="71" xfId="0" applyFont="1" applyBorder="1" applyAlignment="1">
      <alignment vertical="center"/>
    </xf>
    <xf numFmtId="0" fontId="16" fillId="0" borderId="116" xfId="0" applyFont="1" applyBorder="1" applyAlignment="1">
      <alignment vertical="center"/>
    </xf>
    <xf numFmtId="0" fontId="7" fillId="0" borderId="38" xfId="0" applyFont="1" applyBorder="1" applyAlignment="1">
      <alignment horizontal="center" vertical="center" wrapText="1"/>
    </xf>
    <xf numFmtId="0" fontId="17" fillId="0" borderId="71" xfId="0" applyFont="1" applyBorder="1" applyAlignment="1">
      <alignment horizontal="right" vertical="center"/>
    </xf>
    <xf numFmtId="44" fontId="4" fillId="0" borderId="116" xfId="1" applyNumberFormat="1" applyFont="1" applyBorder="1" applyAlignment="1">
      <alignment vertical="center"/>
    </xf>
    <xf numFmtId="43" fontId="5" fillId="0" borderId="14" xfId="0" applyNumberFormat="1" applyFont="1" applyFill="1" applyBorder="1" applyAlignment="1" applyProtection="1">
      <alignment vertical="center"/>
      <protection locked="0"/>
    </xf>
    <xf numFmtId="44" fontId="17" fillId="0" borderId="59" xfId="0" applyNumberFormat="1" applyFont="1" applyFill="1" applyBorder="1" applyAlignment="1" applyProtection="1">
      <alignment vertical="center"/>
    </xf>
    <xf numFmtId="180" fontId="33" fillId="0" borderId="13" xfId="0" applyNumberFormat="1" applyFont="1" applyBorder="1" applyAlignment="1">
      <alignment horizontal="left" vertical="center"/>
    </xf>
    <xf numFmtId="180" fontId="33" fillId="0" borderId="6" xfId="0" applyNumberFormat="1" applyFont="1" applyBorder="1" applyAlignment="1">
      <alignment horizontal="left" vertical="center"/>
    </xf>
    <xf numFmtId="180" fontId="1" fillId="0" borderId="189" xfId="0" applyNumberFormat="1" applyFont="1" applyFill="1" applyBorder="1" applyAlignment="1">
      <alignment horizontal="center"/>
    </xf>
    <xf numFmtId="44" fontId="1" fillId="0" borderId="129" xfId="1" applyFont="1" applyBorder="1" applyAlignment="1">
      <alignment vertical="center"/>
    </xf>
    <xf numFmtId="44" fontId="4" fillId="0" borderId="192" xfId="1" applyFont="1" applyBorder="1"/>
    <xf numFmtId="44" fontId="4" fillId="0" borderId="122" xfId="1" applyFont="1" applyBorder="1"/>
    <xf numFmtId="44" fontId="4" fillId="0" borderId="197" xfId="1" applyFont="1" applyBorder="1"/>
    <xf numFmtId="44" fontId="4" fillId="0" borderId="75" xfId="1" applyFont="1" applyBorder="1"/>
    <xf numFmtId="44" fontId="7" fillId="0" borderId="192" xfId="1" applyFont="1" applyBorder="1"/>
    <xf numFmtId="44" fontId="4" fillId="0" borderId="143" xfId="1" applyFont="1" applyBorder="1"/>
    <xf numFmtId="44" fontId="7" fillId="0" borderId="143" xfId="1" applyFont="1" applyBorder="1"/>
    <xf numFmtId="44" fontId="1" fillId="0" borderId="193" xfId="1" applyFont="1" applyBorder="1"/>
    <xf numFmtId="44" fontId="1" fillId="0" borderId="195" xfId="1" applyFont="1" applyBorder="1"/>
    <xf numFmtId="44" fontId="1" fillId="0" borderId="194" xfId="1" applyFont="1" applyBorder="1"/>
    <xf numFmtId="44" fontId="1" fillId="0" borderId="232" xfId="1" applyFont="1" applyBorder="1"/>
    <xf numFmtId="44" fontId="7" fillId="0" borderId="159" xfId="1" applyFont="1" applyBorder="1"/>
    <xf numFmtId="44" fontId="1" fillId="0" borderId="52" xfId="1" applyFont="1" applyBorder="1"/>
    <xf numFmtId="44" fontId="7" fillId="0" borderId="196" xfId="1" applyFont="1" applyBorder="1"/>
    <xf numFmtId="44" fontId="20" fillId="3" borderId="24" xfId="1" applyFont="1" applyFill="1" applyBorder="1" applyProtection="1">
      <protection locked="0"/>
    </xf>
    <xf numFmtId="44" fontId="4" fillId="0" borderId="75" xfId="1" applyFont="1" applyBorder="1" applyAlignment="1">
      <alignment vertical="center"/>
    </xf>
    <xf numFmtId="44" fontId="20" fillId="3" borderId="27" xfId="1" applyFont="1" applyFill="1" applyBorder="1" applyAlignment="1" applyProtection="1">
      <alignment vertical="center"/>
      <protection locked="0"/>
    </xf>
    <xf numFmtId="44" fontId="4" fillId="0" borderId="142" xfId="1" applyFont="1" applyBorder="1" applyAlignment="1">
      <alignment vertical="center"/>
    </xf>
    <xf numFmtId="44" fontId="20" fillId="3" borderId="30" xfId="1" applyFont="1" applyFill="1" applyBorder="1" applyAlignment="1" applyProtection="1">
      <alignment vertical="center"/>
      <protection locked="0"/>
    </xf>
    <xf numFmtId="44" fontId="4" fillId="0" borderId="143" xfId="1" applyFont="1" applyBorder="1" applyAlignment="1">
      <alignment vertical="center"/>
    </xf>
    <xf numFmtId="44" fontId="17" fillId="0" borderId="33" xfId="1" applyFont="1" applyBorder="1" applyAlignment="1">
      <alignment horizontal="right" vertical="center"/>
    </xf>
    <xf numFmtId="44" fontId="7" fillId="0" borderId="6" xfId="1" applyFont="1" applyBorder="1" applyAlignment="1">
      <alignment horizontal="right" vertical="center"/>
    </xf>
    <xf numFmtId="44" fontId="136" fillId="7" borderId="136" xfId="1" applyFont="1" applyFill="1" applyBorder="1" applyAlignment="1">
      <alignment vertical="center"/>
    </xf>
    <xf numFmtId="2" fontId="20" fillId="3" borderId="24" xfId="0" applyNumberFormat="1" applyFont="1" applyFill="1" applyBorder="1" applyProtection="1">
      <protection locked="0"/>
    </xf>
    <xf numFmtId="2" fontId="20" fillId="3" borderId="27" xfId="0" applyNumberFormat="1" applyFont="1" applyFill="1" applyBorder="1" applyAlignment="1" applyProtection="1">
      <alignment vertical="center"/>
      <protection locked="0"/>
    </xf>
    <xf numFmtId="2" fontId="20" fillId="3" borderId="30" xfId="0" applyNumberFormat="1" applyFont="1" applyFill="1" applyBorder="1" applyAlignment="1" applyProtection="1">
      <alignment vertical="center"/>
      <protection locked="0"/>
    </xf>
    <xf numFmtId="2" fontId="20" fillId="3" borderId="24" xfId="0" applyNumberFormat="1" applyFont="1" applyFill="1" applyBorder="1" applyAlignment="1" applyProtection="1">
      <alignment vertical="center"/>
      <protection locked="0"/>
    </xf>
    <xf numFmtId="44" fontId="20" fillId="3" borderId="24" xfId="1" applyFont="1" applyFill="1" applyBorder="1" applyAlignment="1" applyProtection="1">
      <alignment vertical="center"/>
      <protection locked="0"/>
    </xf>
    <xf numFmtId="44" fontId="20" fillId="3" borderId="62" xfId="1" applyFont="1" applyFill="1" applyBorder="1" applyAlignment="1" applyProtection="1">
      <alignment vertical="center"/>
      <protection locked="0"/>
    </xf>
    <xf numFmtId="44" fontId="17" fillId="3" borderId="51" xfId="1" applyFont="1" applyFill="1" applyBorder="1" applyAlignment="1">
      <alignment horizontal="right" vertical="center"/>
    </xf>
    <xf numFmtId="44" fontId="136" fillId="7" borderId="42" xfId="1" applyFont="1" applyFill="1" applyBorder="1" applyAlignment="1">
      <alignment vertical="center"/>
    </xf>
    <xf numFmtId="44" fontId="22" fillId="7" borderId="42" xfId="1" applyFont="1" applyFill="1" applyBorder="1" applyAlignment="1">
      <alignment vertical="center"/>
    </xf>
    <xf numFmtId="44" fontId="17" fillId="0" borderId="78" xfId="1" applyFont="1" applyBorder="1" applyAlignment="1">
      <alignment horizontal="right" vertical="center"/>
    </xf>
    <xf numFmtId="44" fontId="7" fillId="0" borderId="144" xfId="1" applyFont="1" applyBorder="1" applyAlignment="1">
      <alignment vertical="center"/>
    </xf>
    <xf numFmtId="44" fontId="7" fillId="0" borderId="1" xfId="1" applyFont="1" applyBorder="1" applyAlignment="1">
      <alignment horizontal="right" vertical="center"/>
    </xf>
    <xf numFmtId="44" fontId="7" fillId="0" borderId="136" xfId="1" applyFont="1" applyFill="1" applyBorder="1" applyAlignment="1">
      <alignment vertical="center"/>
    </xf>
    <xf numFmtId="44" fontId="19" fillId="3" borderId="52" xfId="1" applyFont="1" applyFill="1" applyBorder="1" applyAlignment="1" applyProtection="1">
      <alignment vertical="center"/>
      <protection locked="0"/>
    </xf>
    <xf numFmtId="44" fontId="4" fillId="0" borderId="122" xfId="1" applyFont="1" applyBorder="1" applyAlignment="1">
      <alignment vertical="center"/>
    </xf>
    <xf numFmtId="44" fontId="19" fillId="3" borderId="27" xfId="1" applyFont="1" applyFill="1" applyBorder="1" applyAlignment="1" applyProtection="1">
      <alignment vertical="center"/>
      <protection locked="0"/>
    </xf>
    <xf numFmtId="44" fontId="19" fillId="3" borderId="30" xfId="1" applyFont="1" applyFill="1" applyBorder="1" applyAlignment="1" applyProtection="1">
      <alignment vertical="center"/>
      <protection locked="0"/>
    </xf>
    <xf numFmtId="44" fontId="7" fillId="0" borderId="33" xfId="1" applyFont="1" applyBorder="1" applyAlignment="1">
      <alignment horizontal="right" vertical="center"/>
    </xf>
    <xf numFmtId="44" fontId="72" fillId="7" borderId="42" xfId="1" applyFont="1" applyFill="1" applyBorder="1" applyAlignment="1">
      <alignment vertical="center"/>
    </xf>
    <xf numFmtId="44" fontId="19" fillId="3" borderId="24" xfId="1" applyFont="1" applyFill="1" applyBorder="1" applyAlignment="1" applyProtection="1">
      <alignment vertical="center"/>
      <protection locked="0"/>
    </xf>
    <xf numFmtId="44" fontId="17" fillId="0" borderId="117" xfId="1" applyFont="1" applyBorder="1" applyAlignment="1">
      <alignment vertical="center"/>
    </xf>
    <xf numFmtId="44" fontId="17" fillId="0" borderId="115" xfId="1" applyFont="1" applyBorder="1" applyAlignment="1">
      <alignment vertical="center"/>
    </xf>
    <xf numFmtId="44" fontId="19" fillId="3" borderId="24" xfId="1" applyFont="1" applyFill="1" applyBorder="1" applyProtection="1">
      <protection locked="0"/>
    </xf>
    <xf numFmtId="44" fontId="72" fillId="7" borderId="74" xfId="1" applyFont="1" applyFill="1" applyBorder="1" applyAlignment="1">
      <alignment vertical="center"/>
    </xf>
    <xf numFmtId="2" fontId="19" fillId="3" borderId="24" xfId="0" applyNumberFormat="1" applyFont="1" applyFill="1" applyBorder="1" applyProtection="1">
      <protection locked="0"/>
    </xf>
    <xf numFmtId="2" fontId="19" fillId="3" borderId="52" xfId="0" applyNumberFormat="1" applyFont="1" applyFill="1" applyBorder="1" applyAlignment="1" applyProtection="1">
      <alignment vertical="center"/>
      <protection locked="0"/>
    </xf>
    <xf numFmtId="44" fontId="4" fillId="0" borderId="75" xfId="1" applyFont="1" applyFill="1" applyBorder="1" applyAlignment="1">
      <alignment vertical="center"/>
    </xf>
    <xf numFmtId="44" fontId="4" fillId="0" borderId="142" xfId="1" applyFont="1" applyFill="1" applyBorder="1" applyAlignment="1">
      <alignment vertical="center"/>
    </xf>
    <xf numFmtId="44" fontId="4" fillId="0" borderId="143" xfId="1" applyFont="1" applyFill="1" applyBorder="1" applyAlignment="1">
      <alignment vertical="center"/>
    </xf>
    <xf numFmtId="44" fontId="72" fillId="14" borderId="74" xfId="1" applyFont="1" applyFill="1" applyBorder="1" applyAlignment="1">
      <alignment vertical="center"/>
    </xf>
    <xf numFmtId="44" fontId="19" fillId="3" borderId="52" xfId="1" applyFont="1" applyFill="1" applyBorder="1" applyProtection="1">
      <protection locked="0"/>
    </xf>
    <xf numFmtId="44" fontId="5" fillId="0" borderId="141" xfId="1" applyFont="1" applyBorder="1" applyAlignment="1" applyProtection="1">
      <alignment vertical="center"/>
    </xf>
    <xf numFmtId="44" fontId="5" fillId="0" borderId="142" xfId="1" applyFont="1" applyBorder="1" applyAlignment="1" applyProtection="1">
      <alignment vertical="center"/>
    </xf>
    <xf numFmtId="44" fontId="19" fillId="3" borderId="62" xfId="1" applyFont="1" applyFill="1" applyBorder="1" applyAlignment="1" applyProtection="1">
      <alignment vertical="center"/>
      <protection locked="0"/>
    </xf>
    <xf numFmtId="44" fontId="5" fillId="0" borderId="146" xfId="1" applyFont="1" applyBorder="1" applyAlignment="1" applyProtection="1">
      <alignment vertical="center"/>
    </xf>
    <xf numFmtId="44" fontId="7" fillId="0" borderId="15" xfId="1" applyFont="1" applyBorder="1" applyAlignment="1" applyProtection="1">
      <alignment vertical="center"/>
    </xf>
    <xf numFmtId="44" fontId="5" fillId="0" borderId="75" xfId="1" applyFont="1" applyBorder="1" applyAlignment="1" applyProtection="1">
      <alignment vertical="center"/>
    </xf>
    <xf numFmtId="44" fontId="7" fillId="0" borderId="223" xfId="1" applyFont="1" applyBorder="1" applyAlignment="1">
      <alignment horizontal="right" vertical="center"/>
    </xf>
    <xf numFmtId="44" fontId="72" fillId="7" borderId="114" xfId="1" applyFont="1" applyFill="1" applyBorder="1" applyAlignment="1">
      <alignment vertical="center"/>
    </xf>
    <xf numFmtId="44" fontId="7" fillId="0" borderId="14" xfId="1" applyFont="1" applyBorder="1" applyAlignment="1">
      <alignment vertical="center"/>
    </xf>
    <xf numFmtId="44" fontId="19" fillId="3" borderId="137" xfId="1" applyFont="1" applyFill="1" applyBorder="1" applyAlignment="1" applyProtection="1">
      <alignment vertical="center"/>
      <protection locked="0"/>
    </xf>
    <xf numFmtId="44" fontId="19" fillId="3" borderId="146" xfId="1" applyFont="1" applyFill="1" applyBorder="1" applyAlignment="1" applyProtection="1">
      <alignment vertical="center"/>
      <protection locked="0"/>
    </xf>
    <xf numFmtId="44" fontId="22" fillId="0" borderId="122" xfId="1" applyFont="1" applyBorder="1" applyAlignment="1">
      <alignment vertical="center"/>
    </xf>
    <xf numFmtId="44" fontId="7" fillId="0" borderId="139" xfId="1" applyFont="1" applyBorder="1" applyAlignment="1">
      <alignment vertical="center"/>
    </xf>
    <xf numFmtId="0" fontId="15" fillId="0" borderId="6" xfId="0" applyFont="1" applyBorder="1" applyAlignment="1">
      <alignment horizontal="right" vertical="center"/>
    </xf>
    <xf numFmtId="0" fontId="7" fillId="0" borderId="0" xfId="0" applyFont="1" applyAlignment="1">
      <alignment horizontal="right"/>
    </xf>
    <xf numFmtId="0" fontId="113" fillId="0" borderId="0" xfId="0" applyFont="1" applyAlignment="1">
      <alignment horizontal="right"/>
    </xf>
    <xf numFmtId="177" fontId="1" fillId="0" borderId="0" xfId="0" applyNumberFormat="1" applyFont="1" applyAlignment="1">
      <alignment horizontal="center"/>
    </xf>
    <xf numFmtId="177" fontId="125" fillId="0" borderId="0" xfId="0" applyNumberFormat="1" applyFont="1" applyAlignment="1">
      <alignment horizontal="center"/>
    </xf>
    <xf numFmtId="2" fontId="19" fillId="0" borderId="193" xfId="0" applyNumberFormat="1" applyFont="1" applyFill="1" applyBorder="1" applyAlignment="1" applyProtection="1">
      <alignment vertical="center"/>
    </xf>
    <xf numFmtId="2" fontId="19" fillId="0" borderId="194" xfId="0" applyNumberFormat="1" applyFont="1" applyFill="1" applyBorder="1" applyAlignment="1" applyProtection="1">
      <alignment vertical="center"/>
    </xf>
    <xf numFmtId="2" fontId="19" fillId="0" borderId="228" xfId="0" applyNumberFormat="1" applyFont="1" applyFill="1" applyBorder="1" applyAlignment="1" applyProtection="1">
      <alignment vertical="center"/>
    </xf>
    <xf numFmtId="2" fontId="19" fillId="0" borderId="24" xfId="0" applyNumberFormat="1" applyFont="1" applyFill="1" applyBorder="1" applyAlignment="1" applyProtection="1">
      <alignment vertical="center"/>
    </xf>
    <xf numFmtId="177" fontId="29" fillId="0" borderId="0" xfId="0" applyNumberFormat="1" applyFont="1" applyBorder="1" applyAlignment="1">
      <alignment horizontal="left"/>
    </xf>
    <xf numFmtId="177" fontId="33" fillId="0" borderId="6" xfId="0" applyNumberFormat="1" applyFont="1" applyBorder="1" applyAlignment="1">
      <alignment horizontal="left" vertical="center"/>
    </xf>
    <xf numFmtId="180" fontId="55" fillId="0" borderId="0" xfId="0" applyNumberFormat="1" applyFont="1" applyBorder="1" applyAlignment="1">
      <alignment horizontal="left" vertical="center"/>
    </xf>
    <xf numFmtId="180" fontId="33" fillId="0" borderId="0" xfId="0" applyNumberFormat="1" applyFont="1" applyBorder="1" applyAlignment="1">
      <alignment horizontal="left" vertical="center"/>
    </xf>
    <xf numFmtId="0" fontId="36" fillId="0" borderId="42" xfId="0" applyFont="1" applyBorder="1" applyAlignment="1" applyProtection="1">
      <alignment horizontal="left" vertical="center"/>
    </xf>
    <xf numFmtId="180" fontId="33" fillId="0" borderId="13" xfId="0" applyNumberFormat="1" applyFont="1" applyBorder="1" applyAlignment="1" applyProtection="1">
      <alignment horizontal="left" vertical="center"/>
    </xf>
    <xf numFmtId="0" fontId="36" fillId="0" borderId="0" xfId="0" applyFont="1" applyBorder="1" applyAlignment="1" applyProtection="1">
      <alignment vertical="center"/>
    </xf>
    <xf numFmtId="180" fontId="7" fillId="0" borderId="0" xfId="0" applyNumberFormat="1" applyFont="1" applyBorder="1" applyAlignment="1">
      <alignment horizontal="left"/>
    </xf>
    <xf numFmtId="177" fontId="4" fillId="0" borderId="0" xfId="0" applyNumberFormat="1" applyFont="1" applyBorder="1" applyAlignment="1">
      <alignment horizontal="left"/>
    </xf>
    <xf numFmtId="44" fontId="4" fillId="0" borderId="195" xfId="1" applyFont="1" applyBorder="1"/>
    <xf numFmtId="44" fontId="4" fillId="0" borderId="52" xfId="1" applyFont="1" applyBorder="1"/>
    <xf numFmtId="44" fontId="7" fillId="0" borderId="196" xfId="1" applyFont="1" applyBorder="1" applyAlignment="1">
      <alignment vertical="center"/>
    </xf>
    <xf numFmtId="44" fontId="4" fillId="0" borderId="193" xfId="1" applyFont="1" applyBorder="1"/>
    <xf numFmtId="44" fontId="4" fillId="0" borderId="196" xfId="1" applyFont="1" applyBorder="1"/>
    <xf numFmtId="44" fontId="4" fillId="0" borderId="155" xfId="1" applyFont="1" applyBorder="1" applyAlignment="1"/>
    <xf numFmtId="44" fontId="4" fillId="0" borderId="196" xfId="1" applyFont="1" applyBorder="1" applyAlignment="1"/>
    <xf numFmtId="44" fontId="4" fillId="0" borderId="19" xfId="1" applyFont="1" applyBorder="1"/>
    <xf numFmtId="181" fontId="29" fillId="0" borderId="95" xfId="0" applyNumberFormat="1" applyFont="1" applyBorder="1" applyAlignment="1">
      <alignment horizontal="left"/>
    </xf>
    <xf numFmtId="0" fontId="51" fillId="4" borderId="71" xfId="0" applyFont="1" applyFill="1" applyBorder="1" applyAlignment="1" applyProtection="1">
      <alignment horizontal="center" vertical="center" wrapText="1"/>
    </xf>
    <xf numFmtId="0" fontId="0" fillId="0" borderId="60" xfId="0" applyBorder="1" applyAlignment="1">
      <alignment horizontal="center" vertical="center" wrapText="1"/>
    </xf>
    <xf numFmtId="0" fontId="0" fillId="0" borderId="116" xfId="0" applyBorder="1" applyAlignment="1">
      <alignment horizontal="center" vertical="center" wrapText="1"/>
    </xf>
    <xf numFmtId="0" fontId="16" fillId="0" borderId="20" xfId="0" applyFont="1" applyFill="1" applyBorder="1" applyAlignment="1" applyProtection="1">
      <alignment horizontal="right" vertical="center" wrapText="1"/>
    </xf>
    <xf numFmtId="0" fontId="16" fillId="0" borderId="21" xfId="0" applyFont="1" applyBorder="1" applyAlignment="1" applyProtection="1">
      <alignment horizontal="right" vertical="center"/>
    </xf>
    <xf numFmtId="0" fontId="16" fillId="0" borderId="99" xfId="0" applyFont="1" applyBorder="1" applyAlignment="1" applyProtection="1">
      <alignment horizontal="right" vertical="center"/>
    </xf>
    <xf numFmtId="0" fontId="16" fillId="0" borderId="21" xfId="0" applyFont="1" applyBorder="1" applyAlignment="1" applyProtection="1">
      <alignment horizontal="right" vertical="center" wrapText="1"/>
    </xf>
    <xf numFmtId="0" fontId="16" fillId="0" borderId="99" xfId="0" applyFont="1" applyBorder="1" applyAlignment="1" applyProtection="1">
      <alignment horizontal="right" vertical="center" wrapText="1"/>
    </xf>
    <xf numFmtId="0" fontId="73" fillId="2" borderId="0"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37" fillId="2"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36" fillId="0" borderId="87" xfId="0" applyFont="1" applyFill="1" applyBorder="1" applyAlignment="1" applyProtection="1">
      <alignment horizontal="center" vertical="center" wrapText="1"/>
    </xf>
    <xf numFmtId="0" fontId="97" fillId="0" borderId="10" xfId="0" applyFont="1" applyFill="1" applyBorder="1" applyAlignment="1" applyProtection="1">
      <alignment horizontal="center" vertical="center" wrapText="1"/>
    </xf>
    <xf numFmtId="0" fontId="97" fillId="0" borderId="53" xfId="0" applyFont="1" applyFill="1" applyBorder="1" applyAlignment="1" applyProtection="1">
      <alignment horizontal="center" vertical="center" wrapText="1"/>
    </xf>
    <xf numFmtId="0" fontId="97" fillId="0" borderId="11" xfId="0" applyFont="1" applyFill="1" applyBorder="1" applyAlignment="1" applyProtection="1">
      <alignment horizontal="center" vertical="center" wrapText="1"/>
    </xf>
    <xf numFmtId="0" fontId="97" fillId="0" borderId="168" xfId="0" applyFont="1" applyFill="1" applyBorder="1" applyAlignment="1" applyProtection="1">
      <alignment horizontal="center" vertical="center" wrapText="1"/>
    </xf>
    <xf numFmtId="0" fontId="97" fillId="0" borderId="169" xfId="0" applyFont="1" applyFill="1" applyBorder="1" applyAlignment="1" applyProtection="1">
      <alignment horizontal="center" vertical="center" wrapText="1"/>
    </xf>
    <xf numFmtId="49" fontId="17" fillId="3" borderId="19" xfId="0" applyNumberFormat="1" applyFont="1" applyFill="1" applyBorder="1" applyAlignment="1" applyProtection="1">
      <alignment vertical="center" wrapText="1"/>
      <protection locked="0"/>
    </xf>
    <xf numFmtId="49" fontId="14" fillId="0" borderId="19" xfId="0" applyNumberFormat="1" applyFont="1" applyBorder="1" applyAlignment="1" applyProtection="1">
      <alignment vertical="center" wrapText="1"/>
      <protection locked="0"/>
    </xf>
    <xf numFmtId="49" fontId="17" fillId="3" borderId="76" xfId="0" applyNumberFormat="1" applyFont="1" applyFill="1" applyBorder="1" applyAlignment="1" applyProtection="1">
      <alignment horizontal="left" vertical="center"/>
      <protection locked="0"/>
    </xf>
    <xf numFmtId="49" fontId="15" fillId="0" borderId="18" xfId="0" applyNumberFormat="1" applyFont="1" applyBorder="1" applyAlignment="1" applyProtection="1">
      <alignment horizontal="left" vertical="center"/>
      <protection locked="0"/>
    </xf>
    <xf numFmtId="49" fontId="17" fillId="3" borderId="76" xfId="0" applyNumberFormat="1" applyFont="1" applyFill="1" applyBorder="1" applyAlignment="1" applyProtection="1">
      <alignment vertical="center"/>
      <protection locked="0"/>
    </xf>
    <xf numFmtId="49" fontId="17" fillId="3" borderId="17" xfId="0" applyNumberFormat="1" applyFont="1" applyFill="1" applyBorder="1" applyAlignment="1" applyProtection="1">
      <alignment vertical="center"/>
      <protection locked="0"/>
    </xf>
    <xf numFmtId="49" fontId="17" fillId="3" borderId="18" xfId="0" applyNumberFormat="1" applyFont="1" applyFill="1" applyBorder="1" applyAlignment="1" applyProtection="1">
      <alignment vertical="center"/>
      <protection locked="0"/>
    </xf>
    <xf numFmtId="49" fontId="17" fillId="3" borderId="170" xfId="0" applyNumberFormat="1"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131" xfId="0" applyBorder="1" applyAlignment="1" applyProtection="1">
      <alignment vertical="center"/>
      <protection locked="0"/>
    </xf>
    <xf numFmtId="0" fontId="128"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49" fontId="25" fillId="3" borderId="84" xfId="0" applyNumberFormat="1" applyFont="1" applyFill="1" applyBorder="1" applyAlignment="1" applyProtection="1">
      <alignment horizontal="center" vertical="center"/>
      <protection locked="0"/>
    </xf>
    <xf numFmtId="0" fontId="14" fillId="0" borderId="99" xfId="0" applyFont="1" applyBorder="1" applyAlignment="1" applyProtection="1">
      <alignment horizontal="center" vertical="center"/>
      <protection locked="0"/>
    </xf>
    <xf numFmtId="49" fontId="17" fillId="3" borderId="19" xfId="0" applyNumberFormat="1" applyFont="1" applyFill="1" applyBorder="1" applyAlignment="1" applyProtection="1">
      <alignment vertical="center"/>
      <protection locked="0"/>
    </xf>
    <xf numFmtId="49" fontId="14" fillId="0" borderId="19" xfId="0" applyNumberFormat="1" applyFont="1" applyBorder="1" applyAlignment="1" applyProtection="1">
      <alignment vertical="center"/>
      <protection locked="0"/>
    </xf>
    <xf numFmtId="0" fontId="16" fillId="0" borderId="2" xfId="0" applyFont="1" applyFill="1" applyBorder="1" applyAlignment="1" applyProtection="1">
      <alignment horizontal="right" vertical="center" wrapText="1"/>
    </xf>
    <xf numFmtId="0" fontId="16" fillId="0" borderId="0" xfId="0" applyFont="1" applyBorder="1" applyAlignment="1" applyProtection="1">
      <alignment horizontal="right" vertical="center" wrapText="1"/>
    </xf>
    <xf numFmtId="0" fontId="16" fillId="0" borderId="54" xfId="0" applyFont="1" applyBorder="1" applyAlignment="1" applyProtection="1">
      <alignment horizontal="right" vertical="center" wrapText="1"/>
    </xf>
    <xf numFmtId="0" fontId="106" fillId="4" borderId="71" xfId="0" applyFont="1" applyFill="1" applyBorder="1" applyAlignment="1" applyProtection="1">
      <alignment horizontal="left" vertical="center" wrapText="1"/>
    </xf>
    <xf numFmtId="0" fontId="105" fillId="4" borderId="60" xfId="0" applyFont="1" applyFill="1" applyBorder="1" applyAlignment="1" applyProtection="1">
      <alignment horizontal="left" vertical="center" wrapText="1"/>
    </xf>
    <xf numFmtId="0" fontId="20" fillId="0" borderId="162" xfId="0" applyFont="1" applyFill="1" applyBorder="1" applyAlignment="1" applyProtection="1">
      <alignment horizontal="right" vertical="center" wrapText="1"/>
    </xf>
    <xf numFmtId="0" fontId="20" fillId="0" borderId="56" xfId="0" applyFont="1" applyFill="1" applyBorder="1" applyAlignment="1" applyProtection="1">
      <alignment horizontal="right" vertical="center"/>
    </xf>
    <xf numFmtId="0" fontId="20" fillId="0" borderId="163" xfId="0" applyFont="1" applyFill="1" applyBorder="1" applyAlignment="1" applyProtection="1">
      <alignment horizontal="right" vertical="center"/>
    </xf>
    <xf numFmtId="0" fontId="17" fillId="12" borderId="2" xfId="0" applyFont="1" applyFill="1" applyBorder="1" applyAlignment="1" applyProtection="1">
      <alignment horizontal="right" vertical="center" wrapText="1"/>
    </xf>
    <xf numFmtId="0" fontId="17" fillId="12" borderId="0" xfId="0" applyFont="1" applyFill="1" applyBorder="1" applyAlignment="1" applyProtection="1">
      <alignment horizontal="right" vertical="center"/>
    </xf>
    <xf numFmtId="0" fontId="17" fillId="12" borderId="54" xfId="0" applyFont="1" applyFill="1" applyBorder="1" applyAlignment="1" applyProtection="1">
      <alignment horizontal="right" vertical="center"/>
    </xf>
    <xf numFmtId="0" fontId="57" fillId="4" borderId="162" xfId="0" applyFont="1" applyFill="1" applyBorder="1" applyAlignment="1" applyProtection="1">
      <alignment horizontal="left" vertical="center" wrapText="1"/>
    </xf>
    <xf numFmtId="0" fontId="62" fillId="4" borderId="56" xfId="0" applyFont="1" applyFill="1" applyBorder="1" applyAlignment="1" applyProtection="1">
      <alignment vertical="center" wrapText="1"/>
    </xf>
    <xf numFmtId="0" fontId="16" fillId="0" borderId="0" xfId="0" applyFont="1" applyBorder="1" applyAlignment="1" applyProtection="1">
      <alignment horizontal="right" vertical="center"/>
    </xf>
    <xf numFmtId="0" fontId="16" fillId="0" borderId="54" xfId="0" applyFont="1" applyBorder="1" applyAlignment="1" applyProtection="1">
      <alignment horizontal="right" vertical="center"/>
    </xf>
    <xf numFmtId="0" fontId="7" fillId="0" borderId="2"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54" xfId="0" applyFont="1" applyBorder="1" applyAlignment="1" applyProtection="1">
      <alignment horizontal="right" vertical="center" wrapText="1"/>
    </xf>
    <xf numFmtId="0" fontId="7" fillId="10" borderId="58" xfId="0" applyFont="1" applyFill="1" applyBorder="1" applyAlignment="1" applyProtection="1">
      <alignment horizontal="right" vertical="center" wrapText="1"/>
    </xf>
    <xf numFmtId="0" fontId="7" fillId="10" borderId="5" xfId="0" applyFont="1" applyFill="1" applyBorder="1" applyAlignment="1" applyProtection="1">
      <alignment horizontal="right" vertical="center" wrapText="1"/>
    </xf>
    <xf numFmtId="0" fontId="7" fillId="10" borderId="164" xfId="0" applyFont="1" applyFill="1" applyBorder="1" applyAlignment="1" applyProtection="1">
      <alignment horizontal="right" vertical="center" wrapText="1"/>
    </xf>
    <xf numFmtId="0" fontId="107" fillId="11" borderId="7" xfId="0" applyFont="1" applyFill="1" applyBorder="1" applyAlignment="1" applyProtection="1">
      <alignment horizontal="left" vertical="center" wrapText="1"/>
    </xf>
    <xf numFmtId="0" fontId="110" fillId="11" borderId="6" xfId="0" applyFont="1" applyFill="1" applyBorder="1" applyAlignment="1">
      <alignment horizontal="left" vertical="center" wrapText="1"/>
    </xf>
    <xf numFmtId="0" fontId="10" fillId="0" borderId="84" xfId="0" applyFont="1" applyFill="1" applyBorder="1" applyAlignment="1">
      <alignment vertical="top" wrapText="1"/>
    </xf>
    <xf numFmtId="0" fontId="0" fillId="0" borderId="21" xfId="0" applyBorder="1" applyAlignment="1">
      <alignment vertical="top" wrapText="1"/>
    </xf>
    <xf numFmtId="0" fontId="16" fillId="0" borderId="81" xfId="0" applyFont="1" applyFill="1" applyBorder="1" applyAlignment="1" applyProtection="1">
      <alignment horizontal="right" vertical="center" wrapText="1"/>
    </xf>
    <xf numFmtId="0" fontId="16" fillId="0" borderId="165" xfId="0" applyFont="1" applyFill="1" applyBorder="1" applyAlignment="1" applyProtection="1">
      <alignment horizontal="right" vertical="center" wrapText="1"/>
    </xf>
    <xf numFmtId="0" fontId="16" fillId="0" borderId="165" xfId="0" applyFont="1" applyBorder="1" applyAlignment="1" applyProtection="1">
      <alignment horizontal="right" vertical="center" wrapText="1"/>
    </xf>
    <xf numFmtId="0" fontId="16" fillId="0" borderId="117" xfId="0" applyFont="1" applyBorder="1" applyAlignment="1" applyProtection="1">
      <alignment horizontal="right" vertical="center" wrapText="1"/>
    </xf>
    <xf numFmtId="0" fontId="16" fillId="0" borderId="31" xfId="0" applyFont="1" applyBorder="1" applyAlignment="1" applyProtection="1">
      <alignment horizontal="right" vertical="center" wrapText="1"/>
    </xf>
    <xf numFmtId="0" fontId="16" fillId="0" borderId="32" xfId="0" applyFont="1" applyBorder="1" applyAlignment="1" applyProtection="1">
      <alignment horizontal="right" vertical="center" wrapText="1"/>
    </xf>
    <xf numFmtId="0" fontId="16" fillId="0" borderId="40" xfId="0" applyFont="1" applyBorder="1" applyAlignment="1" applyProtection="1">
      <alignment horizontal="right" vertical="center" wrapText="1"/>
    </xf>
    <xf numFmtId="0" fontId="17" fillId="12" borderId="0" xfId="0" applyFont="1" applyFill="1" applyBorder="1" applyAlignment="1" applyProtection="1">
      <alignment horizontal="right" vertical="center" wrapText="1"/>
    </xf>
    <xf numFmtId="0" fontId="17" fillId="0" borderId="0" xfId="0" applyFont="1" applyBorder="1" applyAlignment="1" applyProtection="1">
      <alignment horizontal="right" vertical="center" wrapText="1"/>
    </xf>
    <xf numFmtId="0" fontId="17" fillId="0" borderId="11" xfId="0" applyFont="1" applyBorder="1" applyAlignment="1" applyProtection="1">
      <alignment horizontal="right" vertical="center" wrapText="1"/>
    </xf>
    <xf numFmtId="0" fontId="17" fillId="10" borderId="58" xfId="0" applyFont="1" applyFill="1" applyBorder="1" applyAlignment="1" applyProtection="1">
      <alignment horizontal="right" vertical="center" wrapText="1"/>
    </xf>
    <xf numFmtId="0" fontId="17" fillId="10" borderId="5" xfId="0" applyFont="1" applyFill="1" applyBorder="1" applyAlignment="1" applyProtection="1">
      <alignment horizontal="right" vertical="center" wrapText="1"/>
    </xf>
    <xf numFmtId="0" fontId="17" fillId="10" borderId="59" xfId="0" applyFont="1" applyFill="1" applyBorder="1" applyAlignment="1" applyProtection="1">
      <alignment horizontal="right" vertical="center" wrapText="1"/>
    </xf>
    <xf numFmtId="0" fontId="16" fillId="0" borderId="67" xfId="0" applyFont="1" applyFill="1" applyBorder="1" applyAlignment="1" applyProtection="1">
      <alignment horizontal="right" vertical="center" wrapText="1"/>
    </xf>
    <xf numFmtId="0" fontId="16" fillId="0" borderId="12" xfId="0" applyFont="1" applyBorder="1" applyAlignment="1" applyProtection="1">
      <alignment horizontal="right" vertical="center" wrapText="1"/>
    </xf>
    <xf numFmtId="0" fontId="16" fillId="0" borderId="68" xfId="0" applyFont="1" applyBorder="1" applyAlignment="1" applyProtection="1">
      <alignment horizontal="right" vertical="center" wrapText="1"/>
    </xf>
    <xf numFmtId="0" fontId="20" fillId="0" borderId="166" xfId="0" applyFont="1" applyFill="1" applyBorder="1" applyAlignment="1" applyProtection="1">
      <alignment horizontal="right" vertical="center" wrapText="1"/>
    </xf>
    <xf numFmtId="0" fontId="20" fillId="0" borderId="167" xfId="0" applyFont="1" applyFill="1" applyBorder="1" applyAlignment="1" applyProtection="1">
      <alignment horizontal="right" vertical="center" wrapText="1"/>
    </xf>
    <xf numFmtId="0" fontId="20" fillId="0" borderId="167" xfId="0" applyFont="1" applyBorder="1" applyAlignment="1" applyProtection="1">
      <alignment horizontal="right" vertical="center" wrapText="1"/>
    </xf>
    <xf numFmtId="0" fontId="20" fillId="0" borderId="133" xfId="0" applyFont="1" applyBorder="1" applyAlignment="1" applyProtection="1">
      <alignment horizontal="right" vertical="center" wrapText="1"/>
    </xf>
    <xf numFmtId="0" fontId="22" fillId="0" borderId="84" xfId="0" applyFont="1" applyBorder="1" applyAlignment="1" applyProtection="1">
      <alignment horizontal="left" vertical="center"/>
      <protection locked="0"/>
    </xf>
    <xf numFmtId="0" fontId="118" fillId="0" borderId="21" xfId="0" applyFont="1" applyBorder="1" applyAlignment="1">
      <alignment vertical="center"/>
    </xf>
    <xf numFmtId="0" fontId="0" fillId="0" borderId="21" xfId="0" applyBorder="1" applyAlignment="1">
      <alignment vertical="center"/>
    </xf>
    <xf numFmtId="0" fontId="0" fillId="0" borderId="45" xfId="0" applyBorder="1" applyAlignment="1">
      <alignment vertical="center"/>
    </xf>
    <xf numFmtId="0" fontId="16" fillId="0" borderId="34" xfId="0" applyFont="1" applyFill="1" applyBorder="1" applyAlignment="1" applyProtection="1">
      <alignment horizontal="right" vertical="center"/>
    </xf>
    <xf numFmtId="0" fontId="14" fillId="0" borderId="13" xfId="0" applyFont="1" applyBorder="1" applyAlignment="1">
      <alignment horizontal="right" vertical="center"/>
    </xf>
    <xf numFmtId="0" fontId="14" fillId="0" borderId="174" xfId="0" applyFont="1" applyBorder="1" applyAlignment="1">
      <alignment horizontal="right" vertical="center"/>
    </xf>
    <xf numFmtId="0" fontId="7" fillId="4" borderId="8" xfId="0" applyFont="1" applyFill="1" applyBorder="1" applyAlignment="1" applyProtection="1">
      <alignment horizontal="center" vertical="top" wrapText="1"/>
    </xf>
    <xf numFmtId="0" fontId="14" fillId="0" borderId="7" xfId="0" applyFont="1" applyBorder="1" applyAlignment="1">
      <alignment vertical="top"/>
    </xf>
    <xf numFmtId="0" fontId="7" fillId="4" borderId="117" xfId="0" applyFont="1" applyFill="1" applyBorder="1" applyAlignment="1" applyProtection="1">
      <alignment horizontal="center" vertical="top" wrapText="1"/>
    </xf>
    <xf numFmtId="0" fontId="14" fillId="0" borderId="74" xfId="0" applyFont="1" applyBorder="1" applyAlignment="1">
      <alignment horizontal="center" vertical="top" wrapText="1"/>
    </xf>
    <xf numFmtId="0" fontId="7" fillId="8" borderId="175" xfId="0" applyFont="1" applyFill="1" applyBorder="1" applyAlignment="1" applyProtection="1">
      <alignment horizontal="center" vertical="top" wrapText="1"/>
    </xf>
    <xf numFmtId="0" fontId="14" fillId="0" borderId="135" xfId="0" applyFont="1" applyBorder="1" applyAlignment="1">
      <alignment horizontal="center" vertical="top" wrapText="1"/>
    </xf>
    <xf numFmtId="49" fontId="17" fillId="3" borderId="84" xfId="0" applyNumberFormat="1" applyFont="1" applyFill="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49" fontId="17" fillId="3" borderId="84" xfId="0" applyNumberFormat="1" applyFont="1" applyFill="1" applyBorder="1" applyAlignment="1" applyProtection="1">
      <alignment vertical="center"/>
      <protection locked="0"/>
    </xf>
    <xf numFmtId="49" fontId="14" fillId="0" borderId="45" xfId="0" applyNumberFormat="1" applyFont="1" applyBorder="1" applyAlignment="1" applyProtection="1">
      <alignment vertical="center"/>
      <protection locked="0"/>
    </xf>
    <xf numFmtId="49" fontId="27" fillId="3" borderId="84" xfId="0" applyNumberFormat="1" applyFont="1" applyFill="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49" fontId="14" fillId="0" borderId="131" xfId="0" applyNumberFormat="1" applyFont="1" applyBorder="1" applyAlignment="1" applyProtection="1">
      <alignment vertical="center"/>
      <protection locked="0"/>
    </xf>
    <xf numFmtId="0" fontId="31" fillId="4" borderId="173" xfId="0" applyFont="1" applyFill="1" applyBorder="1" applyAlignment="1" applyProtection="1">
      <alignment horizontal="center" vertical="center" wrapText="1"/>
    </xf>
    <xf numFmtId="0" fontId="30" fillId="4" borderId="85" xfId="0" applyFont="1" applyFill="1" applyBorder="1" applyAlignment="1" applyProtection="1">
      <alignment horizontal="center" vertical="center" wrapText="1"/>
    </xf>
    <xf numFmtId="0" fontId="30" fillId="4" borderId="70" xfId="0" applyFont="1" applyFill="1" applyBorder="1" applyAlignment="1" applyProtection="1">
      <alignment horizontal="center" vertical="center" wrapText="1"/>
    </xf>
    <xf numFmtId="49" fontId="25" fillId="0" borderId="84" xfId="0" applyNumberFormat="1" applyFont="1" applyFill="1" applyBorder="1" applyAlignment="1" applyProtection="1">
      <alignment vertical="center"/>
    </xf>
    <xf numFmtId="49" fontId="10" fillId="0" borderId="45" xfId="0" applyNumberFormat="1" applyFont="1" applyFill="1" applyBorder="1" applyAlignment="1" applyProtection="1">
      <alignment vertical="center"/>
    </xf>
    <xf numFmtId="49" fontId="47" fillId="3" borderId="84" xfId="0" applyNumberFormat="1" applyFont="1" applyFill="1" applyBorder="1" applyAlignment="1" applyProtection="1">
      <alignment vertical="center"/>
      <protection locked="0"/>
    </xf>
    <xf numFmtId="49" fontId="14" fillId="0" borderId="99" xfId="0" applyNumberFormat="1" applyFont="1" applyBorder="1" applyAlignment="1" applyProtection="1">
      <alignment vertical="center"/>
      <protection locked="0"/>
    </xf>
    <xf numFmtId="49" fontId="47" fillId="3" borderId="19" xfId="0" applyNumberFormat="1" applyFont="1" applyFill="1" applyBorder="1" applyAlignment="1" applyProtection="1">
      <alignment horizontal="left" vertical="center"/>
      <protection locked="0"/>
    </xf>
    <xf numFmtId="49" fontId="43" fillId="0" borderId="42" xfId="0" applyNumberFormat="1" applyFont="1" applyBorder="1" applyAlignment="1" applyProtection="1">
      <alignment horizontal="left" vertical="center"/>
      <protection locked="0"/>
    </xf>
    <xf numFmtId="49" fontId="27" fillId="3" borderId="84" xfId="0" applyNumberFormat="1" applyFont="1" applyFill="1" applyBorder="1" applyAlignment="1" applyProtection="1">
      <alignment horizontal="center" vertical="center"/>
    </xf>
    <xf numFmtId="0" fontId="14" fillId="0" borderId="99" xfId="0" applyFont="1" applyBorder="1" applyAlignment="1" applyProtection="1">
      <alignment horizontal="center" vertical="center"/>
    </xf>
    <xf numFmtId="49" fontId="17" fillId="3" borderId="84" xfId="0" applyNumberFormat="1" applyFont="1" applyFill="1" applyBorder="1" applyAlignment="1" applyProtection="1">
      <alignment vertical="center"/>
    </xf>
    <xf numFmtId="49" fontId="14" fillId="0" borderId="45" xfId="0" applyNumberFormat="1" applyFont="1" applyBorder="1" applyAlignment="1" applyProtection="1">
      <alignment vertical="center"/>
    </xf>
    <xf numFmtId="49" fontId="17" fillId="3" borderId="170" xfId="0" applyNumberFormat="1" applyFont="1" applyFill="1" applyBorder="1" applyAlignment="1" applyProtection="1">
      <alignment vertical="center"/>
    </xf>
    <xf numFmtId="49" fontId="14" fillId="0" borderId="131" xfId="0" applyNumberFormat="1" applyFont="1" applyBorder="1" applyAlignment="1" applyProtection="1">
      <alignment vertical="center"/>
    </xf>
    <xf numFmtId="0" fontId="14" fillId="0" borderId="13" xfId="0" applyFont="1" applyBorder="1" applyAlignment="1" applyProtection="1">
      <alignment horizontal="right" vertical="center"/>
    </xf>
    <xf numFmtId="0" fontId="14" fillId="0" borderId="174" xfId="0" applyFont="1" applyBorder="1" applyAlignment="1" applyProtection="1">
      <alignment horizontal="right" vertical="center"/>
    </xf>
    <xf numFmtId="0" fontId="17" fillId="4" borderId="8" xfId="0" applyFont="1" applyFill="1" applyBorder="1" applyAlignment="1" applyProtection="1">
      <alignment horizontal="center" vertical="top" wrapText="1"/>
    </xf>
    <xf numFmtId="0" fontId="16" fillId="0" borderId="7" xfId="0" applyFont="1" applyBorder="1" applyAlignment="1" applyProtection="1">
      <alignment vertical="top"/>
    </xf>
    <xf numFmtId="0" fontId="17" fillId="4" borderId="117" xfId="0" applyFont="1" applyFill="1" applyBorder="1" applyAlignment="1" applyProtection="1">
      <alignment horizontal="center" vertical="top" wrapText="1"/>
    </xf>
    <xf numFmtId="0" fontId="16" fillId="0" borderId="74" xfId="0" applyFont="1" applyBorder="1" applyAlignment="1" applyProtection="1">
      <alignment horizontal="center" vertical="top" wrapText="1"/>
    </xf>
    <xf numFmtId="0" fontId="17" fillId="8" borderId="175" xfId="0" applyFont="1" applyFill="1" applyBorder="1" applyAlignment="1" applyProtection="1">
      <alignment horizontal="center" vertical="top" wrapText="1"/>
    </xf>
    <xf numFmtId="0" fontId="16" fillId="0" borderId="135" xfId="0" applyFont="1" applyBorder="1" applyAlignment="1" applyProtection="1">
      <alignment horizontal="center" vertical="top" wrapText="1"/>
    </xf>
    <xf numFmtId="49" fontId="17" fillId="3" borderId="84" xfId="0" applyNumberFormat="1" applyFont="1" applyFill="1" applyBorder="1" applyAlignment="1" applyProtection="1">
      <alignment horizontal="left" vertical="center"/>
    </xf>
    <xf numFmtId="49" fontId="14" fillId="0" borderId="45" xfId="0" applyNumberFormat="1" applyFont="1" applyBorder="1" applyAlignment="1" applyProtection="1">
      <alignment horizontal="left" vertical="center"/>
    </xf>
    <xf numFmtId="0" fontId="27" fillId="0" borderId="171" xfId="0" applyFont="1" applyFill="1" applyBorder="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47" xfId="0" applyFont="1" applyBorder="1" applyAlignment="1" applyProtection="1">
      <alignment horizontal="center" vertical="center" wrapText="1"/>
    </xf>
    <xf numFmtId="0" fontId="27" fillId="0" borderId="38" xfId="0" applyFont="1" applyBorder="1" applyAlignment="1" applyProtection="1">
      <alignment horizontal="center" vertical="center" wrapText="1"/>
    </xf>
    <xf numFmtId="0" fontId="27" fillId="0" borderId="19"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27" fillId="0" borderId="172" xfId="0" applyFont="1" applyBorder="1" applyAlignment="1" applyProtection="1">
      <alignment horizontal="center" vertical="center" wrapText="1"/>
    </xf>
    <xf numFmtId="0" fontId="27" fillId="0" borderId="73" xfId="0" applyFont="1" applyBorder="1" applyAlignment="1" applyProtection="1">
      <alignment horizontal="center" vertical="center" wrapText="1"/>
    </xf>
    <xf numFmtId="0" fontId="27" fillId="0" borderId="136" xfId="0" applyFont="1" applyBorder="1" applyAlignment="1" applyProtection="1">
      <alignment horizontal="center" vertical="center" wrapText="1"/>
    </xf>
    <xf numFmtId="49" fontId="25" fillId="3" borderId="84" xfId="0" applyNumberFormat="1" applyFont="1" applyFill="1" applyBorder="1" applyAlignment="1" applyProtection="1">
      <alignment horizontal="center" vertical="center"/>
    </xf>
    <xf numFmtId="49" fontId="17" fillId="3" borderId="19" xfId="0" applyNumberFormat="1" applyFont="1" applyFill="1" applyBorder="1" applyAlignment="1" applyProtection="1">
      <alignment vertical="center"/>
    </xf>
    <xf numFmtId="49" fontId="14" fillId="0" borderId="19" xfId="0" applyNumberFormat="1" applyFont="1" applyBorder="1" applyAlignment="1" applyProtection="1">
      <alignment vertical="center"/>
    </xf>
    <xf numFmtId="49" fontId="47" fillId="3" borderId="84" xfId="0" applyNumberFormat="1" applyFont="1" applyFill="1" applyBorder="1" applyAlignment="1" applyProtection="1">
      <alignment vertical="center"/>
    </xf>
    <xf numFmtId="49" fontId="14" fillId="0" borderId="99" xfId="0" applyNumberFormat="1" applyFont="1" applyBorder="1" applyAlignment="1" applyProtection="1">
      <alignment vertical="center"/>
    </xf>
    <xf numFmtId="49" fontId="47" fillId="3" borderId="19" xfId="0" applyNumberFormat="1" applyFont="1" applyFill="1" applyBorder="1" applyAlignment="1" applyProtection="1">
      <alignment vertical="center"/>
    </xf>
    <xf numFmtId="49" fontId="43" fillId="0" borderId="42" xfId="0" applyNumberFormat="1" applyFont="1" applyBorder="1" applyAlignment="1" applyProtection="1">
      <alignment vertical="center"/>
    </xf>
    <xf numFmtId="0" fontId="52" fillId="0" borderId="60" xfId="0" applyFont="1" applyBorder="1" applyAlignment="1" applyProtection="1">
      <alignment horizontal="center" vertical="center" wrapText="1"/>
    </xf>
    <xf numFmtId="0" fontId="52" fillId="0" borderId="116" xfId="0" applyFont="1" applyBorder="1" applyAlignment="1" applyProtection="1">
      <alignment horizontal="center" vertical="center" wrapText="1"/>
    </xf>
    <xf numFmtId="0" fontId="37" fillId="2" borderId="9" xfId="0" applyFont="1" applyFill="1" applyBorder="1" applyAlignment="1" applyProtection="1">
      <alignment horizontal="center" vertical="center" wrapText="1"/>
    </xf>
    <xf numFmtId="0" fontId="14" fillId="0" borderId="9" xfId="0" applyFont="1" applyBorder="1" applyAlignment="1" applyProtection="1">
      <alignment horizontal="center" vertical="center" wrapText="1"/>
    </xf>
    <xf numFmtId="49" fontId="17" fillId="3" borderId="19" xfId="0" applyNumberFormat="1" applyFont="1" applyFill="1" applyBorder="1" applyAlignment="1" applyProtection="1">
      <alignment vertical="center" wrapText="1"/>
    </xf>
    <xf numFmtId="49" fontId="14" fillId="0" borderId="19" xfId="0" applyNumberFormat="1" applyFont="1" applyBorder="1" applyAlignment="1" applyProtection="1">
      <alignment vertical="center" wrapText="1"/>
    </xf>
    <xf numFmtId="49" fontId="17" fillId="3" borderId="76" xfId="0" applyNumberFormat="1" applyFont="1" applyFill="1" applyBorder="1" applyAlignment="1" applyProtection="1">
      <alignment horizontal="left" vertical="center"/>
    </xf>
    <xf numFmtId="49" fontId="15" fillId="0" borderId="18" xfId="0" applyNumberFormat="1" applyFont="1" applyBorder="1" applyAlignment="1" applyProtection="1">
      <alignment horizontal="left" vertical="center"/>
    </xf>
    <xf numFmtId="49" fontId="17" fillId="3" borderId="76" xfId="0" applyNumberFormat="1" applyFont="1" applyFill="1" applyBorder="1" applyAlignment="1" applyProtection="1">
      <alignment vertical="center"/>
    </xf>
    <xf numFmtId="49" fontId="17" fillId="3" borderId="17" xfId="0" applyNumberFormat="1" applyFont="1" applyFill="1" applyBorder="1" applyAlignment="1" applyProtection="1">
      <alignment vertical="center"/>
    </xf>
    <xf numFmtId="49" fontId="17" fillId="3" borderId="18" xfId="0" applyNumberFormat="1" applyFont="1" applyFill="1" applyBorder="1" applyAlignment="1" applyProtection="1">
      <alignment vertical="center"/>
    </xf>
    <xf numFmtId="0" fontId="0" fillId="0" borderId="1" xfId="0" applyBorder="1" applyAlignment="1">
      <alignment vertical="center"/>
    </xf>
    <xf numFmtId="0" fontId="0" fillId="0" borderId="131" xfId="0" applyBorder="1" applyAlignment="1">
      <alignment vertical="center"/>
    </xf>
    <xf numFmtId="0" fontId="107" fillId="7" borderId="7" xfId="0" applyFont="1" applyFill="1" applyBorder="1" applyAlignment="1" applyProtection="1">
      <alignment horizontal="left" vertical="center" wrapText="1"/>
    </xf>
    <xf numFmtId="0" fontId="110" fillId="7" borderId="6" xfId="0" applyFont="1" applyFill="1" applyBorder="1" applyAlignment="1" applyProtection="1">
      <alignment horizontal="left" vertical="center" wrapText="1"/>
    </xf>
    <xf numFmtId="0" fontId="16" fillId="0" borderId="66" xfId="0" applyFont="1" applyFill="1" applyBorder="1" applyAlignment="1" applyProtection="1">
      <alignment horizontal="right" vertical="center" wrapText="1"/>
    </xf>
    <xf numFmtId="0" fontId="16" fillId="0" borderId="52" xfId="0" applyFont="1" applyFill="1" applyBorder="1" applyAlignment="1" applyProtection="1">
      <alignment horizontal="right" vertical="center" wrapText="1"/>
    </xf>
    <xf numFmtId="0" fontId="16" fillId="0" borderId="52" xfId="0" applyFont="1" applyBorder="1" applyAlignment="1" applyProtection="1">
      <alignment horizontal="right" vertical="center" wrapText="1"/>
    </xf>
    <xf numFmtId="0" fontId="16" fillId="0" borderId="53" xfId="0" applyFont="1" applyBorder="1" applyAlignment="1" applyProtection="1">
      <alignment horizontal="right" vertical="center" wrapText="1"/>
    </xf>
    <xf numFmtId="0" fontId="7" fillId="5" borderId="162" xfId="0" applyFont="1" applyFill="1" applyBorder="1" applyAlignment="1" applyProtection="1">
      <alignment horizontal="left" vertical="center" wrapText="1"/>
    </xf>
    <xf numFmtId="0" fontId="4" fillId="5" borderId="56" xfId="0" applyFont="1" applyFill="1" applyBorder="1" applyAlignment="1" applyProtection="1">
      <alignment horizontal="left" vertical="center" wrapText="1"/>
    </xf>
    <xf numFmtId="0" fontId="4" fillId="5" borderId="56" xfId="0" applyFont="1" applyFill="1" applyBorder="1" applyAlignment="1" applyProtection="1">
      <alignment vertical="center" wrapText="1"/>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165" fontId="27" fillId="0" borderId="6" xfId="0" applyNumberFormat="1" applyFont="1" applyFill="1" applyBorder="1" applyAlignment="1" applyProtection="1">
      <alignment horizontal="right" vertical="center"/>
    </xf>
    <xf numFmtId="0" fontId="27" fillId="0" borderId="6" xfId="0" applyFont="1" applyBorder="1" applyAlignment="1" applyProtection="1">
      <alignment horizontal="right" vertical="center"/>
    </xf>
    <xf numFmtId="0" fontId="27" fillId="0" borderId="6" xfId="0" applyFont="1" applyBorder="1" applyAlignment="1" applyProtection="1">
      <alignment vertical="center"/>
    </xf>
    <xf numFmtId="9" fontId="4" fillId="0" borderId="2" xfId="0" applyNumberFormat="1" applyFont="1" applyFill="1" applyBorder="1" applyAlignment="1" applyProtection="1">
      <alignment vertical="center" wrapText="1"/>
    </xf>
    <xf numFmtId="9" fontId="61" fillId="0" borderId="67" xfId="0" applyNumberFormat="1" applyFont="1" applyFill="1" applyBorder="1" applyAlignment="1" applyProtection="1">
      <alignment vertical="center" wrapText="1"/>
    </xf>
    <xf numFmtId="0" fontId="14" fillId="0" borderId="12" xfId="0" applyFont="1" applyBorder="1" applyAlignment="1" applyProtection="1">
      <alignmen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0" fontId="100" fillId="3" borderId="32" xfId="13" applyFont="1" applyFill="1" applyBorder="1" applyAlignment="1" applyProtection="1">
      <alignment horizontal="right" vertical="center" wrapText="1"/>
      <protection locked="0"/>
    </xf>
    <xf numFmtId="0" fontId="0" fillId="0" borderId="32"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4" xfId="0" applyBorder="1" applyAlignment="1" applyProtection="1">
      <alignment vertical="center" wrapText="1"/>
      <protection locked="0"/>
    </xf>
    <xf numFmtId="0" fontId="14" fillId="0" borderId="2" xfId="0" applyFont="1" applyBorder="1" applyAlignment="1" applyProtection="1">
      <alignment vertical="center"/>
    </xf>
    <xf numFmtId="0" fontId="14" fillId="0" borderId="0" xfId="0" applyFont="1" applyBorder="1" applyAlignment="1" applyProtection="1">
      <alignment vertical="center"/>
    </xf>
    <xf numFmtId="0" fontId="9" fillId="0" borderId="19" xfId="0" applyFont="1" applyFill="1" applyBorder="1" applyAlignment="1" applyProtection="1">
      <alignment horizontal="center" vertical="center" wrapText="1"/>
    </xf>
    <xf numFmtId="0" fontId="4" fillId="0" borderId="19" xfId="0" applyFont="1" applyBorder="1" applyAlignment="1" applyProtection="1">
      <alignment horizontal="center" vertical="center" wrapText="1"/>
    </xf>
    <xf numFmtId="43" fontId="19" fillId="3" borderId="132" xfId="0" applyNumberFormat="1" applyFont="1" applyFill="1" applyBorder="1" applyAlignment="1" applyProtection="1">
      <alignment vertical="center"/>
      <protection locked="0"/>
    </xf>
    <xf numFmtId="43" fontId="4" fillId="0" borderId="181" xfId="0" applyNumberFormat="1" applyFont="1" applyBorder="1" applyAlignment="1" applyProtection="1">
      <alignment vertical="center"/>
      <protection locked="0"/>
    </xf>
    <xf numFmtId="43" fontId="5" fillId="0" borderId="84" xfId="0" applyNumberFormat="1" applyFont="1" applyFill="1" applyBorder="1" applyAlignment="1" applyProtection="1">
      <alignment vertical="center"/>
    </xf>
    <xf numFmtId="43" fontId="5" fillId="0" borderId="21" xfId="0" applyNumberFormat="1" applyFont="1" applyFill="1" applyBorder="1" applyAlignment="1" applyProtection="1">
      <alignment vertical="center"/>
    </xf>
    <xf numFmtId="43" fontId="5" fillId="0" borderId="99" xfId="0" applyNumberFormat="1" applyFont="1" applyFill="1" applyBorder="1" applyAlignment="1" applyProtection="1">
      <alignment vertical="center"/>
    </xf>
    <xf numFmtId="43" fontId="19" fillId="3" borderId="179" xfId="0" applyNumberFormat="1" applyFont="1" applyFill="1" applyBorder="1" applyAlignment="1" applyProtection="1">
      <alignment vertical="center"/>
      <protection locked="0"/>
    </xf>
    <xf numFmtId="43" fontId="4" fillId="0" borderId="6" xfId="0" applyNumberFormat="1" applyFont="1" applyBorder="1" applyAlignment="1" applyProtection="1">
      <alignment vertical="center"/>
      <protection locked="0"/>
    </xf>
    <xf numFmtId="0" fontId="14" fillId="0" borderId="0" xfId="0" applyFont="1" applyBorder="1" applyAlignment="1" applyProtection="1">
      <alignment horizontal="left" vertical="center" wrapText="1"/>
    </xf>
    <xf numFmtId="0" fontId="0" fillId="0" borderId="0" xfId="0" applyAlignment="1">
      <alignment vertical="center"/>
    </xf>
    <xf numFmtId="9" fontId="4" fillId="0" borderId="67" xfId="0" applyNumberFormat="1" applyFont="1" applyFill="1" applyBorder="1" applyAlignment="1" applyProtection="1">
      <alignment vertical="center" wrapText="1"/>
    </xf>
    <xf numFmtId="43" fontId="19" fillId="3" borderId="176" xfId="0" applyNumberFormat="1" applyFont="1" applyFill="1" applyBorder="1" applyAlignment="1" applyProtection="1">
      <alignment vertical="center"/>
      <protection locked="0"/>
    </xf>
    <xf numFmtId="43" fontId="4" fillId="0" borderId="176" xfId="0" applyNumberFormat="1" applyFont="1" applyBorder="1" applyAlignment="1" applyProtection="1">
      <alignment vertical="center"/>
      <protection locked="0"/>
    </xf>
    <xf numFmtId="43" fontId="14" fillId="0" borderId="21" xfId="0" applyNumberFormat="1" applyFont="1" applyBorder="1" applyAlignment="1" applyProtection="1">
      <alignment vertical="center"/>
    </xf>
    <xf numFmtId="43" fontId="14" fillId="0" borderId="99" xfId="0" applyNumberFormat="1" applyFont="1" applyBorder="1" applyAlignment="1" applyProtection="1">
      <alignment vertical="center"/>
    </xf>
    <xf numFmtId="43" fontId="5" fillId="0" borderId="19" xfId="0" applyNumberFormat="1" applyFont="1" applyFill="1" applyBorder="1" applyAlignment="1" applyProtection="1">
      <alignment vertical="center"/>
    </xf>
    <xf numFmtId="43" fontId="4" fillId="0" borderId="19" xfId="0" applyNumberFormat="1" applyFont="1" applyBorder="1" applyAlignment="1" applyProtection="1">
      <alignment vertical="center"/>
    </xf>
    <xf numFmtId="9" fontId="4" fillId="0" borderId="2" xfId="0" applyNumberFormat="1" applyFont="1" applyFill="1" applyBorder="1" applyAlignment="1" applyProtection="1">
      <alignment vertical="center"/>
    </xf>
    <xf numFmtId="0" fontId="4" fillId="0" borderId="2" xfId="0" applyFont="1" applyFill="1" applyBorder="1" applyAlignment="1" applyProtection="1">
      <alignment horizontal="left" vertical="center"/>
    </xf>
    <xf numFmtId="49" fontId="55" fillId="0" borderId="19" xfId="0" applyNumberFormat="1" applyFont="1" applyBorder="1" applyAlignment="1" applyProtection="1">
      <alignment vertical="center"/>
    </xf>
    <xf numFmtId="49" fontId="14" fillId="0" borderId="42" xfId="0" applyNumberFormat="1" applyFont="1" applyBorder="1" applyAlignment="1" applyProtection="1">
      <alignment vertical="center"/>
    </xf>
    <xf numFmtId="0" fontId="55" fillId="0" borderId="19" xfId="0" applyFont="1" applyBorder="1" applyAlignment="1" applyProtection="1">
      <alignment vertical="center"/>
    </xf>
    <xf numFmtId="0" fontId="33" fillId="0" borderId="19" xfId="0" applyFont="1" applyBorder="1" applyAlignment="1" applyProtection="1">
      <alignment vertical="center"/>
    </xf>
    <xf numFmtId="49" fontId="55" fillId="0" borderId="19" xfId="0" applyNumberFormat="1" applyFont="1" applyBorder="1" applyAlignment="1" applyProtection="1">
      <alignment horizontal="left" vertical="center"/>
    </xf>
    <xf numFmtId="49" fontId="16" fillId="0" borderId="19" xfId="0" applyNumberFormat="1" applyFont="1" applyBorder="1" applyAlignment="1" applyProtection="1">
      <alignment horizontal="left" vertical="center"/>
    </xf>
    <xf numFmtId="49" fontId="80" fillId="0" borderId="170" xfId="0" applyNumberFormat="1" applyFont="1" applyBorder="1" applyAlignment="1" applyProtection="1">
      <alignment vertical="center"/>
    </xf>
    <xf numFmtId="49" fontId="14" fillId="0" borderId="1" xfId="0" applyNumberFormat="1" applyFont="1" applyBorder="1" applyAlignment="1" applyProtection="1">
      <alignment vertical="center"/>
    </xf>
    <xf numFmtId="49" fontId="35" fillId="0" borderId="36" xfId="0" applyNumberFormat="1" applyFont="1" applyBorder="1" applyAlignment="1" applyProtection="1">
      <alignment horizontal="center" vertical="center"/>
    </xf>
    <xf numFmtId="0" fontId="35" fillId="0" borderId="36" xfId="0" applyFont="1" applyBorder="1" applyAlignment="1" applyProtection="1">
      <alignment horizontal="center" vertical="center"/>
    </xf>
    <xf numFmtId="9" fontId="5" fillId="0" borderId="2" xfId="0" applyNumberFormat="1" applyFont="1" applyFill="1" applyBorder="1" applyAlignment="1" applyProtection="1">
      <alignment horizontal="left" vertical="center"/>
    </xf>
    <xf numFmtId="49" fontId="80" fillId="0" borderId="176" xfId="0" applyNumberFormat="1" applyFont="1" applyBorder="1" applyAlignment="1" applyProtection="1">
      <alignment vertical="center"/>
    </xf>
    <xf numFmtId="0" fontId="14" fillId="0" borderId="73" xfId="0" applyFont="1" applyBorder="1" applyAlignment="1" applyProtection="1">
      <alignment vertical="center"/>
    </xf>
    <xf numFmtId="0" fontId="14" fillId="0" borderId="136" xfId="0" applyFont="1" applyBorder="1" applyAlignment="1" applyProtection="1">
      <alignment vertical="center"/>
    </xf>
    <xf numFmtId="0" fontId="17" fillId="0" borderId="179" xfId="0" applyFont="1" applyFill="1" applyBorder="1" applyAlignment="1" applyProtection="1">
      <alignment horizontal="right" vertical="center"/>
    </xf>
    <xf numFmtId="0" fontId="16" fillId="0" borderId="6" xfId="0" applyFont="1" applyBorder="1" applyAlignment="1" applyProtection="1">
      <alignment vertical="center"/>
    </xf>
    <xf numFmtId="165" fontId="27" fillId="0" borderId="5" xfId="0" applyNumberFormat="1" applyFont="1" applyFill="1" applyBorder="1" applyAlignment="1" applyProtection="1">
      <alignment horizontal="left" vertical="center"/>
    </xf>
    <xf numFmtId="0" fontId="10" fillId="0" borderId="5" xfId="0" applyFont="1" applyBorder="1" applyAlignment="1" applyProtection="1">
      <alignment horizontal="left" vertical="center"/>
    </xf>
    <xf numFmtId="0" fontId="14" fillId="0" borderId="42" xfId="0" applyFont="1" applyBorder="1" applyAlignment="1" applyProtection="1">
      <alignment vertical="center"/>
    </xf>
    <xf numFmtId="49" fontId="55" fillId="0" borderId="84" xfId="0" applyNumberFormat="1" applyFont="1" applyBorder="1" applyAlignment="1" applyProtection="1">
      <alignment horizontal="left" vertical="center"/>
    </xf>
    <xf numFmtId="49" fontId="55" fillId="0" borderId="30" xfId="0" applyNumberFormat="1" applyFont="1" applyBorder="1" applyAlignment="1" applyProtection="1">
      <alignment vertical="center"/>
    </xf>
    <xf numFmtId="49" fontId="33" fillId="0" borderId="114" xfId="0" applyNumberFormat="1" applyFont="1" applyBorder="1" applyAlignment="1" applyProtection="1">
      <alignment vertical="center"/>
    </xf>
    <xf numFmtId="49" fontId="55" fillId="0" borderId="60" xfId="0" applyNumberFormat="1" applyFont="1" applyBorder="1" applyAlignment="1" applyProtection="1">
      <alignment vertical="center"/>
    </xf>
    <xf numFmtId="0" fontId="14" fillId="0" borderId="60" xfId="0" applyFont="1" applyBorder="1" applyAlignment="1" applyProtection="1">
      <alignment vertical="center"/>
    </xf>
    <xf numFmtId="0" fontId="14" fillId="0" borderId="116" xfId="0" applyFont="1" applyBorder="1" applyAlignment="1" applyProtection="1">
      <alignment vertical="center"/>
    </xf>
    <xf numFmtId="15" fontId="35" fillId="0" borderId="76" xfId="0" applyNumberFormat="1" applyFont="1" applyBorder="1" applyAlignment="1" applyProtection="1">
      <alignment vertical="center"/>
    </xf>
    <xf numFmtId="0" fontId="43" fillId="0" borderId="17" xfId="0" applyFont="1" applyBorder="1" applyAlignment="1" applyProtection="1">
      <alignment vertical="center"/>
    </xf>
    <xf numFmtId="0" fontId="43" fillId="0" borderId="178" xfId="0" applyFont="1" applyBorder="1" applyAlignment="1" applyProtection="1">
      <alignment vertical="center"/>
    </xf>
    <xf numFmtId="0" fontId="55" fillId="0" borderId="19" xfId="0" applyFont="1" applyBorder="1" applyAlignment="1" applyProtection="1">
      <alignment horizontal="left" vertical="center"/>
    </xf>
    <xf numFmtId="0" fontId="14" fillId="0" borderId="19" xfId="0" applyFont="1" applyBorder="1" applyAlignment="1" applyProtection="1">
      <alignment horizontal="left" vertical="center"/>
    </xf>
    <xf numFmtId="0" fontId="17" fillId="0" borderId="0" xfId="0" applyFont="1" applyBorder="1" applyAlignment="1" applyProtection="1">
      <alignment horizontal="right" vertical="center"/>
    </xf>
    <xf numFmtId="49" fontId="17" fillId="0" borderId="0" xfId="0" applyNumberFormat="1" applyFont="1" applyBorder="1" applyAlignment="1" applyProtection="1">
      <alignment horizontal="right" vertical="center"/>
    </xf>
    <xf numFmtId="49" fontId="16" fillId="0" borderId="0" xfId="0" applyNumberFormat="1" applyFont="1" applyBorder="1" applyAlignment="1" applyProtection="1">
      <alignment horizontal="right" vertical="center"/>
    </xf>
    <xf numFmtId="49" fontId="55" fillId="0" borderId="52" xfId="0" applyNumberFormat="1" applyFont="1" applyBorder="1" applyAlignment="1" applyProtection="1">
      <alignment vertical="center"/>
    </xf>
    <xf numFmtId="0" fontId="14" fillId="0" borderId="52" xfId="0" applyFont="1" applyBorder="1" applyAlignment="1" applyProtection="1">
      <alignment vertical="center"/>
    </xf>
    <xf numFmtId="177" fontId="17" fillId="0" borderId="6" xfId="0" applyNumberFormat="1" applyFont="1" applyBorder="1" applyAlignment="1" applyProtection="1">
      <alignment horizontal="right" vertical="center"/>
    </xf>
    <xf numFmtId="0" fontId="14" fillId="0" borderId="6" xfId="0" applyFont="1" applyBorder="1" applyAlignment="1" applyProtection="1">
      <alignment horizontal="right" vertical="center"/>
    </xf>
    <xf numFmtId="178" fontId="55" fillId="0" borderId="170" xfId="0" applyNumberFormat="1" applyFont="1" applyBorder="1" applyAlignment="1" applyProtection="1">
      <alignment horizontal="left" vertical="center"/>
    </xf>
    <xf numFmtId="178" fontId="33" fillId="0" borderId="177" xfId="0" applyNumberFormat="1" applyFont="1" applyBorder="1" applyAlignment="1" applyProtection="1">
      <alignment horizontal="left" vertical="center"/>
    </xf>
    <xf numFmtId="0" fontId="14" fillId="0" borderId="24" xfId="0" applyFont="1" applyBorder="1" applyAlignment="1" applyProtection="1">
      <alignment horizontal="left" vertical="center"/>
    </xf>
    <xf numFmtId="49" fontId="55" fillId="0" borderId="170" xfId="0" applyNumberFormat="1" applyFont="1" applyBorder="1" applyAlignment="1" applyProtection="1">
      <alignment vertical="center"/>
    </xf>
    <xf numFmtId="0" fontId="0" fillId="0" borderId="1" xfId="0" applyBorder="1" applyAlignment="1" applyProtection="1">
      <alignment vertical="center"/>
    </xf>
    <xf numFmtId="0" fontId="0" fillId="0" borderId="177" xfId="0" applyBorder="1" applyAlignment="1" applyProtection="1">
      <alignment vertical="center"/>
    </xf>
    <xf numFmtId="49" fontId="55" fillId="0" borderId="0" xfId="0" applyNumberFormat="1" applyFont="1" applyBorder="1" applyAlignment="1" applyProtection="1">
      <alignment vertical="center"/>
    </xf>
    <xf numFmtId="49" fontId="14" fillId="0" borderId="24" xfId="0" applyNumberFormat="1" applyFont="1" applyBorder="1" applyAlignment="1" applyProtection="1">
      <alignment vertical="center"/>
    </xf>
    <xf numFmtId="49" fontId="55" fillId="0" borderId="73" xfId="0" applyNumberFormat="1" applyFont="1" applyBorder="1" applyAlignment="1" applyProtection="1">
      <alignment vertical="center"/>
    </xf>
    <xf numFmtId="49" fontId="0" fillId="0" borderId="73" xfId="0" applyNumberFormat="1" applyBorder="1" applyAlignment="1" applyProtection="1">
      <alignment vertical="center"/>
    </xf>
    <xf numFmtId="9" fontId="61" fillId="0" borderId="2" xfId="0" applyNumberFormat="1" applyFont="1" applyFill="1" applyBorder="1" applyAlignment="1" applyProtection="1">
      <alignment vertical="center"/>
    </xf>
    <xf numFmtId="9" fontId="5" fillId="0" borderId="9" xfId="0" applyNumberFormat="1" applyFont="1" applyFill="1" applyBorder="1" applyAlignment="1" applyProtection="1">
      <alignment vertical="center"/>
    </xf>
    <xf numFmtId="0" fontId="14" fillId="0" borderId="9" xfId="0" applyFont="1" applyBorder="1" applyAlignment="1" applyProtection="1">
      <alignment vertical="center"/>
    </xf>
    <xf numFmtId="0" fontId="47" fillId="0" borderId="7" xfId="0" applyFont="1" applyBorder="1" applyAlignment="1" applyProtection="1">
      <alignment horizontal="right" vertical="center" wrapText="1"/>
    </xf>
    <xf numFmtId="0" fontId="16" fillId="0" borderId="6" xfId="0" applyFont="1" applyBorder="1" applyAlignment="1" applyProtection="1">
      <alignment horizontal="right" vertical="center"/>
    </xf>
    <xf numFmtId="0" fontId="17" fillId="0" borderId="71" xfId="0" applyFont="1" applyBorder="1" applyAlignment="1" applyProtection="1">
      <alignment horizontal="right" vertical="center" wrapText="1"/>
    </xf>
    <xf numFmtId="0" fontId="0" fillId="0" borderId="60" xfId="0" applyBorder="1" applyAlignment="1">
      <alignment horizontal="right" vertical="center" wrapText="1"/>
    </xf>
    <xf numFmtId="44" fontId="17" fillId="0" borderId="180" xfId="0" applyNumberFormat="1" applyFont="1" applyBorder="1" applyAlignment="1" applyProtection="1">
      <alignment horizontal="left" vertical="center"/>
    </xf>
    <xf numFmtId="44" fontId="0" fillId="0" borderId="69" xfId="0" applyNumberFormat="1" applyBorder="1" applyAlignment="1">
      <alignment horizontal="left" vertical="center"/>
    </xf>
    <xf numFmtId="171" fontId="55" fillId="0" borderId="73" xfId="0" applyNumberFormat="1" applyFont="1" applyBorder="1" applyAlignment="1" applyProtection="1">
      <alignment horizontal="left" vertical="center"/>
    </xf>
    <xf numFmtId="0" fontId="55" fillId="0" borderId="73" xfId="0" applyFont="1" applyBorder="1" applyAlignment="1" applyProtection="1">
      <alignment vertical="center"/>
    </xf>
    <xf numFmtId="0" fontId="17" fillId="0" borderId="76" xfId="0" applyFont="1" applyFill="1" applyBorder="1" applyAlignment="1" applyProtection="1">
      <alignment horizontal="right" vertical="center"/>
    </xf>
    <xf numFmtId="0" fontId="14" fillId="0" borderId="17" xfId="0" applyFont="1" applyBorder="1" applyAlignment="1" applyProtection="1">
      <alignment vertical="center"/>
    </xf>
    <xf numFmtId="0" fontId="14" fillId="0" borderId="178" xfId="0" applyFont="1" applyBorder="1" applyAlignment="1" applyProtection="1">
      <alignment vertical="center"/>
    </xf>
    <xf numFmtId="3" fontId="6" fillId="0" borderId="0" xfId="14" applyNumberFormat="1" applyFont="1" applyFill="1" applyBorder="1" applyAlignment="1" applyProtection="1">
      <alignment wrapText="1"/>
      <protection locked="0"/>
    </xf>
    <xf numFmtId="3" fontId="46" fillId="0" borderId="0" xfId="14" applyNumberFormat="1" applyFont="1" applyFill="1" applyBorder="1" applyAlignment="1" applyProtection="1">
      <alignment horizontal="center" vertical="center" wrapText="1"/>
      <protection locked="0"/>
    </xf>
    <xf numFmtId="0" fontId="50" fillId="0" borderId="2" xfId="0" applyFont="1" applyBorder="1" applyAlignment="1">
      <alignment horizontal="right" vertical="center"/>
    </xf>
    <xf numFmtId="0" fontId="50" fillId="0" borderId="0" xfId="0" applyFont="1" applyBorder="1" applyAlignment="1">
      <alignment horizontal="right" vertical="center"/>
    </xf>
    <xf numFmtId="0" fontId="16" fillId="0" borderId="54" xfId="0" applyFont="1" applyBorder="1" applyAlignment="1">
      <alignment horizontal="right" vertical="center"/>
    </xf>
    <xf numFmtId="0" fontId="31" fillId="4" borderId="71" xfId="0" applyFont="1" applyFill="1" applyBorder="1" applyAlignment="1" applyProtection="1">
      <alignment horizontal="center" vertical="center" wrapText="1"/>
    </xf>
    <xf numFmtId="0" fontId="31" fillId="4" borderId="60" xfId="0" applyFont="1" applyFill="1" applyBorder="1" applyAlignment="1" applyProtection="1">
      <alignment horizontal="center" vertical="center" wrapText="1"/>
    </xf>
    <xf numFmtId="0" fontId="30" fillId="4" borderId="60" xfId="0" applyFont="1" applyFill="1" applyBorder="1" applyAlignment="1" applyProtection="1">
      <alignment horizontal="center" vertical="center" wrapText="1"/>
    </xf>
    <xf numFmtId="0" fontId="16" fillId="0" borderId="166" xfId="0" applyFont="1" applyBorder="1" applyAlignment="1" applyProtection="1">
      <alignment horizontal="right" vertical="center" wrapText="1"/>
    </xf>
    <xf numFmtId="0" fontId="16" fillId="0" borderId="167" xfId="0" applyFont="1" applyBorder="1" applyAlignment="1" applyProtection="1">
      <alignment horizontal="right" vertical="center" wrapText="1"/>
    </xf>
    <xf numFmtId="0" fontId="16" fillId="0" borderId="167" xfId="0" applyFont="1" applyBorder="1" applyAlignment="1">
      <alignment horizontal="right" vertical="center" wrapText="1"/>
    </xf>
    <xf numFmtId="0" fontId="17" fillId="12" borderId="58" xfId="0" applyFont="1" applyFill="1" applyBorder="1" applyAlignment="1" applyProtection="1">
      <alignment horizontal="right" vertical="center" wrapText="1"/>
    </xf>
    <xf numFmtId="0" fontId="17" fillId="12" borderId="5" xfId="0" applyFont="1" applyFill="1" applyBorder="1" applyAlignment="1" applyProtection="1">
      <alignment horizontal="right" vertical="center" wrapText="1"/>
    </xf>
    <xf numFmtId="0" fontId="16" fillId="12" borderId="5" xfId="0" applyFont="1" applyFill="1" applyBorder="1" applyAlignment="1" applyProtection="1">
      <alignment horizontal="right" vertical="center" wrapText="1"/>
    </xf>
    <xf numFmtId="0" fontId="16" fillId="0" borderId="5" xfId="0" applyFont="1" applyBorder="1" applyAlignment="1">
      <alignment horizontal="right" vertical="center" wrapText="1"/>
    </xf>
    <xf numFmtId="0" fontId="4" fillId="6" borderId="58" xfId="0" applyFont="1" applyFill="1" applyBorder="1" applyAlignment="1" applyProtection="1">
      <alignment horizontal="left" vertical="center" wrapText="1"/>
    </xf>
    <xf numFmtId="0" fontId="4" fillId="6" borderId="5" xfId="0" applyFont="1" applyFill="1" applyBorder="1" applyAlignment="1" applyProtection="1">
      <alignment horizontal="left" vertical="center" wrapText="1"/>
    </xf>
    <xf numFmtId="0" fontId="31" fillId="4" borderId="7" xfId="0" applyFont="1" applyFill="1" applyBorder="1" applyAlignment="1" applyProtection="1">
      <alignment horizontal="left" vertical="center" wrapText="1"/>
    </xf>
    <xf numFmtId="0" fontId="31" fillId="4" borderId="6" xfId="0"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6" xfId="0" applyFont="1" applyBorder="1" applyAlignment="1">
      <alignment vertical="center" wrapText="1"/>
    </xf>
    <xf numFmtId="0" fontId="17" fillId="12" borderId="5" xfId="0" applyFont="1" applyFill="1" applyBorder="1" applyAlignment="1" applyProtection="1">
      <alignment horizontal="right" vertical="center"/>
    </xf>
    <xf numFmtId="0" fontId="57" fillId="0" borderId="173" xfId="0" applyFont="1" applyFill="1" applyBorder="1" applyAlignment="1" applyProtection="1">
      <alignment horizontal="center" vertical="center" wrapText="1"/>
    </xf>
    <xf numFmtId="0" fontId="57" fillId="0" borderId="85" xfId="0" applyFont="1" applyFill="1" applyBorder="1" applyAlignment="1" applyProtection="1">
      <alignment horizontal="center" vertical="center" wrapText="1"/>
    </xf>
    <xf numFmtId="0" fontId="62" fillId="0" borderId="85" xfId="0" applyFont="1" applyBorder="1" applyAlignment="1" applyProtection="1">
      <alignment horizontal="center" vertical="center" wrapText="1"/>
    </xf>
    <xf numFmtId="0" fontId="16" fillId="0" borderId="52" xfId="0" applyFont="1" applyBorder="1" applyAlignment="1">
      <alignment horizontal="right" vertical="center" wrapText="1"/>
    </xf>
    <xf numFmtId="0" fontId="16" fillId="0" borderId="53" xfId="0" applyFont="1" applyBorder="1" applyAlignment="1">
      <alignment horizontal="right" vertical="center" wrapText="1"/>
    </xf>
    <xf numFmtId="0" fontId="15" fillId="0" borderId="2" xfId="0" applyFont="1" applyBorder="1" applyAlignment="1">
      <alignment horizontal="right" vertical="center"/>
    </xf>
    <xf numFmtId="0" fontId="14" fillId="0" borderId="0" xfId="0" applyFont="1" applyBorder="1" applyAlignment="1">
      <alignment horizontal="right" vertical="center"/>
    </xf>
    <xf numFmtId="177" fontId="31" fillId="0" borderId="0" xfId="0" applyNumberFormat="1" applyFont="1" applyBorder="1" applyAlignment="1">
      <alignment horizontal="left" vertical="center"/>
    </xf>
    <xf numFmtId="177" fontId="14" fillId="0" borderId="0" xfId="0" applyNumberFormat="1" applyFont="1" applyBorder="1" applyAlignment="1">
      <alignment horizontal="left" vertical="center"/>
    </xf>
    <xf numFmtId="49" fontId="33" fillId="0" borderId="19" xfId="0" applyNumberFormat="1" applyFont="1" applyBorder="1" applyAlignment="1">
      <alignment horizontal="left" vertical="center"/>
    </xf>
    <xf numFmtId="0" fontId="14" fillId="0" borderId="19" xfId="0" applyFont="1" applyBorder="1" applyAlignment="1">
      <alignment vertical="center"/>
    </xf>
    <xf numFmtId="0" fontId="14" fillId="0" borderId="0" xfId="0" applyFont="1" applyBorder="1" applyAlignment="1">
      <alignment vertical="center"/>
    </xf>
    <xf numFmtId="0" fontId="15" fillId="0" borderId="0" xfId="0" applyFont="1" applyFill="1" applyBorder="1" applyAlignment="1" applyProtection="1">
      <alignment horizontal="right" vertical="center"/>
    </xf>
    <xf numFmtId="0" fontId="15" fillId="0" borderId="0" xfId="0" applyFont="1" applyBorder="1" applyAlignment="1">
      <alignment horizontal="right" vertical="center"/>
    </xf>
    <xf numFmtId="49" fontId="36" fillId="0" borderId="19" xfId="0" applyNumberFormat="1" applyFont="1" applyBorder="1" applyAlignment="1">
      <alignment horizontal="right" vertical="center"/>
    </xf>
    <xf numFmtId="0" fontId="38" fillId="0" borderId="19" xfId="0" applyFont="1" applyBorder="1" applyAlignment="1">
      <alignment horizontal="right" vertical="center"/>
    </xf>
    <xf numFmtId="49" fontId="33" fillId="0" borderId="24" xfId="0" applyNumberFormat="1" applyFont="1" applyBorder="1" applyAlignment="1">
      <alignment horizontal="left" vertical="center"/>
    </xf>
    <xf numFmtId="0" fontId="0" fillId="0" borderId="24" xfId="0" applyBorder="1" applyAlignment="1">
      <alignment horizontal="left" vertical="center"/>
    </xf>
    <xf numFmtId="0" fontId="0" fillId="0" borderId="52" xfId="0" applyBorder="1" applyAlignment="1">
      <alignment horizontal="left" vertical="center"/>
    </xf>
    <xf numFmtId="49" fontId="14" fillId="0" borderId="84" xfId="0" applyNumberFormat="1" applyFont="1" applyBorder="1" applyAlignment="1" applyProtection="1">
      <alignment vertical="center"/>
    </xf>
    <xf numFmtId="0" fontId="0" fillId="0" borderId="21" xfId="0" applyBorder="1" applyAlignment="1"/>
    <xf numFmtId="0" fontId="0" fillId="0" borderId="99" xfId="0" applyBorder="1" applyAlignment="1"/>
    <xf numFmtId="0" fontId="15" fillId="0" borderId="2" xfId="0" applyFont="1" applyBorder="1" applyAlignment="1" applyProtection="1">
      <alignment horizontal="right" vertical="center"/>
    </xf>
    <xf numFmtId="0" fontId="14" fillId="0" borderId="0" xfId="0" applyFont="1" applyBorder="1" applyAlignment="1" applyProtection="1">
      <alignment horizontal="right" vertical="center"/>
    </xf>
    <xf numFmtId="177" fontId="31" fillId="0" borderId="0" xfId="0" applyNumberFormat="1" applyFont="1" applyBorder="1" applyAlignment="1" applyProtection="1">
      <alignment horizontal="left" vertical="center"/>
    </xf>
    <xf numFmtId="177" fontId="14" fillId="0" borderId="0" xfId="0" applyNumberFormat="1" applyFont="1" applyBorder="1" applyAlignment="1" applyProtection="1">
      <alignment horizontal="left" vertical="center"/>
    </xf>
    <xf numFmtId="0" fontId="15" fillId="0" borderId="0" xfId="0" applyFont="1" applyBorder="1" applyAlignment="1" applyProtection="1">
      <alignment horizontal="right" vertical="center"/>
    </xf>
    <xf numFmtId="49" fontId="36" fillId="0" borderId="19" xfId="0" applyNumberFormat="1" applyFont="1" applyBorder="1" applyAlignment="1" applyProtection="1">
      <alignment horizontal="right" vertical="center"/>
    </xf>
    <xf numFmtId="0" fontId="38" fillId="0" borderId="19" xfId="0" applyFont="1" applyBorder="1" applyAlignment="1" applyProtection="1">
      <alignment horizontal="right" vertical="center"/>
    </xf>
    <xf numFmtId="49" fontId="33" fillId="0" borderId="24" xfId="0" applyNumberFormat="1" applyFont="1" applyBorder="1" applyAlignment="1" applyProtection="1">
      <alignment horizontal="left" vertical="center"/>
    </xf>
    <xf numFmtId="0" fontId="0" fillId="0" borderId="24" xfId="0" applyBorder="1" applyAlignment="1" applyProtection="1">
      <alignment horizontal="left" vertical="center"/>
    </xf>
    <xf numFmtId="0" fontId="0" fillId="0" borderId="52" xfId="0" applyBorder="1" applyAlignment="1" applyProtection="1">
      <alignment horizontal="left" vertical="center"/>
    </xf>
    <xf numFmtId="0" fontId="16" fillId="0" borderId="5" xfId="0" applyFont="1" applyBorder="1" applyAlignment="1" applyProtection="1">
      <alignment horizontal="right" vertical="center" wrapText="1"/>
    </xf>
    <xf numFmtId="0" fontId="14" fillId="0" borderId="6" xfId="0" applyFont="1" applyBorder="1" applyAlignment="1" applyProtection="1">
      <alignment vertical="center" wrapText="1"/>
    </xf>
    <xf numFmtId="0" fontId="17" fillId="12" borderId="59" xfId="0" applyFont="1" applyFill="1" applyBorder="1" applyAlignment="1" applyProtection="1">
      <alignment horizontal="right" vertical="center"/>
    </xf>
    <xf numFmtId="0" fontId="4" fillId="0" borderId="2" xfId="0" applyFont="1" applyBorder="1" applyAlignment="1" applyProtection="1">
      <alignment horizontal="left" vertical="center" wrapText="1"/>
    </xf>
    <xf numFmtId="49" fontId="33" fillId="0" borderId="19" xfId="0" applyNumberFormat="1" applyFont="1" applyBorder="1" applyAlignment="1" applyProtection="1">
      <alignment vertical="center"/>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0" fontId="4" fillId="0" borderId="0" xfId="0" applyFont="1" applyFill="1" applyBorder="1" applyAlignment="1" applyProtection="1">
      <alignment horizontal="left" vertical="center" wrapText="1"/>
    </xf>
    <xf numFmtId="0" fontId="47" fillId="0" borderId="2" xfId="0" applyFont="1" applyBorder="1" applyAlignment="1" applyProtection="1">
      <alignment vertical="center" wrapText="1"/>
    </xf>
    <xf numFmtId="0" fontId="7" fillId="0" borderId="87" xfId="0" applyFont="1" applyFill="1" applyBorder="1" applyAlignment="1" applyProtection="1">
      <alignment horizontal="left" vertical="center"/>
    </xf>
    <xf numFmtId="0" fontId="4" fillId="0" borderId="9" xfId="0" applyFont="1" applyBorder="1" applyAlignment="1" applyProtection="1">
      <alignment horizontal="left" vertical="center"/>
    </xf>
    <xf numFmtId="0" fontId="4" fillId="0" borderId="43" xfId="0" applyFont="1" applyBorder="1" applyAlignment="1" applyProtection="1">
      <alignment horizontal="left" vertical="center"/>
    </xf>
    <xf numFmtId="178" fontId="29" fillId="0" borderId="19" xfId="0" applyNumberFormat="1" applyFont="1" applyFill="1" applyBorder="1" applyAlignment="1" applyProtection="1">
      <alignment horizontal="left" vertical="center"/>
    </xf>
    <xf numFmtId="178" fontId="14" fillId="0" borderId="19" xfId="0" applyNumberFormat="1" applyFont="1" applyBorder="1" applyAlignment="1" applyProtection="1">
      <alignment vertical="center"/>
    </xf>
    <xf numFmtId="174" fontId="29" fillId="0" borderId="0" xfId="0" applyNumberFormat="1" applyFont="1" applyBorder="1" applyAlignment="1" applyProtection="1">
      <alignment horizontal="left" vertical="center"/>
    </xf>
    <xf numFmtId="174" fontId="14" fillId="0" borderId="0" xfId="0" applyNumberFormat="1" applyFont="1" applyBorder="1" applyAlignment="1" applyProtection="1">
      <alignment horizontal="left" vertical="center"/>
    </xf>
    <xf numFmtId="0" fontId="7" fillId="0" borderId="179" xfId="0" applyFont="1" applyFill="1" applyBorder="1" applyAlignment="1" applyProtection="1">
      <alignment horizontal="right" vertical="center"/>
    </xf>
    <xf numFmtId="0" fontId="4" fillId="0" borderId="6" xfId="0" applyFont="1" applyBorder="1" applyAlignment="1" applyProtection="1">
      <alignment vertical="center"/>
    </xf>
    <xf numFmtId="0" fontId="7" fillId="0" borderId="8" xfId="0" applyFont="1" applyBorder="1" applyAlignment="1" applyProtection="1">
      <alignment horizontal="right" vertical="center" wrapText="1"/>
    </xf>
    <xf numFmtId="0" fontId="14" fillId="0" borderId="9" xfId="0" applyFont="1" applyBorder="1" applyAlignment="1" applyProtection="1">
      <alignment horizontal="right" vertical="center" wrapText="1"/>
    </xf>
    <xf numFmtId="49" fontId="33" fillId="0" borderId="19" xfId="0" quotePrefix="1" applyNumberFormat="1" applyFont="1" applyFill="1" applyBorder="1" applyAlignment="1" applyProtection="1">
      <alignment horizontal="left" vertical="center" wrapText="1"/>
    </xf>
    <xf numFmtId="0" fontId="14" fillId="0" borderId="19" xfId="0" applyFont="1" applyBorder="1" applyAlignment="1">
      <alignment vertical="center" wrapText="1"/>
    </xf>
    <xf numFmtId="0" fontId="42" fillId="0" borderId="9" xfId="0" applyFont="1" applyBorder="1" applyAlignment="1">
      <alignment vertical="center"/>
    </xf>
    <xf numFmtId="0" fontId="43" fillId="0" borderId="10" xfId="0" applyFont="1" applyBorder="1" applyAlignment="1">
      <alignment vertical="center"/>
    </xf>
    <xf numFmtId="0" fontId="86" fillId="0" borderId="0" xfId="0" applyFont="1" applyBorder="1" applyAlignment="1" applyProtection="1">
      <alignment horizontal="center" vertical="center"/>
    </xf>
    <xf numFmtId="0" fontId="87" fillId="0" borderId="0" xfId="0" applyFont="1" applyBorder="1" applyAlignment="1" applyProtection="1">
      <alignment horizontal="center" vertical="center"/>
    </xf>
    <xf numFmtId="0" fontId="60" fillId="0" borderId="0" xfId="0" applyFont="1" applyBorder="1" applyAlignment="1" applyProtection="1">
      <alignment vertical="center"/>
    </xf>
    <xf numFmtId="0" fontId="36" fillId="0" borderId="0" xfId="0" applyFont="1" applyBorder="1" applyAlignment="1" applyProtection="1">
      <alignment horizontal="right" vertical="center"/>
    </xf>
    <xf numFmtId="0" fontId="0" fillId="0" borderId="0" xfId="0" applyBorder="1" applyAlignment="1">
      <alignment vertical="center"/>
    </xf>
    <xf numFmtId="49" fontId="4"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95" xfId="0" applyBorder="1" applyAlignment="1">
      <alignment horizontal="left" vertical="top" wrapText="1"/>
    </xf>
    <xf numFmtId="0" fontId="0" fillId="0" borderId="189" xfId="0" applyBorder="1" applyAlignment="1">
      <alignment horizontal="left" vertical="top" wrapText="1"/>
    </xf>
    <xf numFmtId="49" fontId="4" fillId="0" borderId="149" xfId="0" applyNumberFormat="1" applyFont="1" applyBorder="1" applyAlignment="1"/>
    <xf numFmtId="0" fontId="0" fillId="0" borderId="149" xfId="0" applyBorder="1" applyAlignment="1"/>
    <xf numFmtId="0" fontId="0" fillId="0" borderId="190" xfId="0" applyBorder="1" applyAlignment="1"/>
    <xf numFmtId="49" fontId="4" fillId="0" borderId="0" xfId="0" applyNumberFormat="1" applyFont="1" applyAlignment="1"/>
    <xf numFmtId="0" fontId="0" fillId="0" borderId="0" xfId="0" applyAlignment="1"/>
    <xf numFmtId="0" fontId="4" fillId="0" borderId="0" xfId="0" applyFont="1" applyFill="1" applyBorder="1" applyAlignment="1">
      <alignment horizontal="left"/>
    </xf>
    <xf numFmtId="0" fontId="4" fillId="0" borderId="54" xfId="0" applyFont="1" applyFill="1" applyBorder="1" applyAlignment="1">
      <alignment horizontal="left"/>
    </xf>
    <xf numFmtId="0" fontId="7" fillId="0" borderId="0" xfId="0" applyFont="1" applyBorder="1" applyAlignment="1">
      <alignment horizontal="center"/>
    </xf>
    <xf numFmtId="0" fontId="4" fillId="0" borderId="0" xfId="0" applyFont="1" applyBorder="1" applyAlignment="1"/>
    <xf numFmtId="0" fontId="7" fillId="0" borderId="29" xfId="0" applyFont="1" applyBorder="1" applyAlignment="1"/>
    <xf numFmtId="0" fontId="14" fillId="0" borderId="13" xfId="0" applyFont="1" applyBorder="1" applyAlignment="1"/>
    <xf numFmtId="0" fontId="7" fillId="0" borderId="0" xfId="0" applyFont="1" applyFill="1" applyBorder="1" applyAlignment="1">
      <alignment horizontal="center"/>
    </xf>
    <xf numFmtId="0" fontId="7" fillId="0" borderId="84" xfId="0" applyFont="1" applyBorder="1" applyAlignment="1">
      <alignment horizontal="center" vertical="center"/>
    </xf>
    <xf numFmtId="0" fontId="7" fillId="0" borderId="21" xfId="0" applyFont="1" applyBorder="1" applyAlignment="1">
      <alignment horizontal="center" vertical="center"/>
    </xf>
    <xf numFmtId="0" fontId="7" fillId="0" borderId="99" xfId="0" applyFont="1" applyBorder="1" applyAlignment="1">
      <alignment horizontal="center" vertical="center"/>
    </xf>
    <xf numFmtId="0" fontId="7" fillId="0" borderId="2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 xfId="0" applyFont="1" applyBorder="1" applyAlignment="1">
      <alignment horizontal="center" textRotation="180"/>
    </xf>
    <xf numFmtId="0" fontId="129" fillId="0" borderId="2" xfId="0" applyFont="1" applyBorder="1" applyAlignment="1">
      <alignment horizontal="center" textRotation="180"/>
    </xf>
    <xf numFmtId="0" fontId="129" fillId="0" borderId="34" xfId="0" applyFont="1" applyBorder="1" applyAlignment="1">
      <alignment horizontal="center" textRotation="180"/>
    </xf>
    <xf numFmtId="0" fontId="17" fillId="0" borderId="0" xfId="0" applyFont="1" applyBorder="1" applyAlignment="1">
      <alignment horizontal="right" vertical="center"/>
    </xf>
    <xf numFmtId="14" fontId="16" fillId="3" borderId="84" xfId="0" applyNumberFormat="1" applyFont="1" applyFill="1" applyBorder="1" applyAlignment="1" applyProtection="1">
      <alignment vertical="center"/>
      <protection locked="0"/>
    </xf>
    <xf numFmtId="14" fontId="16" fillId="3" borderId="21" xfId="0" applyNumberFormat="1" applyFont="1" applyFill="1" applyBorder="1" applyAlignment="1" applyProtection="1">
      <alignment vertical="center"/>
      <protection locked="0"/>
    </xf>
    <xf numFmtId="14" fontId="16" fillId="3" borderId="45" xfId="0" applyNumberFormat="1" applyFont="1" applyFill="1" applyBorder="1" applyAlignment="1" applyProtection="1">
      <alignment vertical="center"/>
      <protection locked="0"/>
    </xf>
    <xf numFmtId="0" fontId="15" fillId="0" borderId="7" xfId="0" applyFont="1" applyBorder="1" applyAlignment="1">
      <alignment horizontal="right" vertical="center"/>
    </xf>
    <xf numFmtId="0" fontId="15" fillId="0" borderId="6" xfId="0" applyFont="1" applyBorder="1" applyAlignment="1">
      <alignment horizontal="right" vertical="center"/>
    </xf>
    <xf numFmtId="1" fontId="15" fillId="0" borderId="6" xfId="0" applyNumberFormat="1" applyFont="1" applyBorder="1" applyAlignment="1" applyProtection="1">
      <alignment horizontal="right" vertical="center"/>
    </xf>
    <xf numFmtId="0" fontId="0" fillId="0" borderId="6" xfId="0" applyBorder="1" applyAlignment="1">
      <alignment horizontal="right" vertical="center"/>
    </xf>
    <xf numFmtId="0" fontId="17" fillId="0" borderId="84" xfId="0" applyFont="1" applyBorder="1" applyAlignment="1">
      <alignment horizontal="center" vertical="center" wrapText="1"/>
    </xf>
    <xf numFmtId="0" fontId="0" fillId="0" borderId="99" xfId="0" applyBorder="1" applyAlignment="1">
      <alignment horizontal="center" vertical="center" wrapText="1"/>
    </xf>
    <xf numFmtId="0" fontId="17" fillId="0" borderId="19" xfId="0" applyFont="1" applyBorder="1" applyAlignment="1">
      <alignment horizontal="center" vertical="center"/>
    </xf>
    <xf numFmtId="0" fontId="0" fillId="0" borderId="19" xfId="0" applyBorder="1" applyAlignment="1"/>
    <xf numFmtId="0" fontId="7" fillId="0" borderId="118" xfId="0" applyFont="1" applyBorder="1" applyAlignment="1">
      <alignment horizontal="center"/>
    </xf>
    <xf numFmtId="0" fontId="113" fillId="0" borderId="118" xfId="0" applyFont="1" applyBorder="1" applyAlignment="1">
      <alignment horizontal="center"/>
    </xf>
    <xf numFmtId="0" fontId="7" fillId="0" borderId="22" xfId="0" applyFont="1" applyBorder="1" applyAlignment="1">
      <alignment horizontal="center" vertical="center" wrapText="1"/>
    </xf>
    <xf numFmtId="0" fontId="0" fillId="0" borderId="28" xfId="0" applyBorder="1" applyAlignment="1">
      <alignment horizontal="center" vertical="center" wrapText="1"/>
    </xf>
    <xf numFmtId="0" fontId="113" fillId="0" borderId="30" xfId="0" applyFont="1" applyBorder="1" applyAlignment="1">
      <alignment horizontal="center" vertical="center" wrapText="1"/>
    </xf>
    <xf numFmtId="0" fontId="0" fillId="0" borderId="30" xfId="0" applyBorder="1" applyAlignment="1">
      <alignment horizontal="center" vertical="center"/>
    </xf>
    <xf numFmtId="0" fontId="17" fillId="0" borderId="52" xfId="0" applyFont="1" applyBorder="1" applyAlignment="1">
      <alignment horizontal="center" vertical="center" wrapText="1"/>
    </xf>
    <xf numFmtId="0" fontId="0" fillId="0" borderId="30" xfId="0" applyBorder="1" applyAlignment="1">
      <alignment wrapText="1"/>
    </xf>
    <xf numFmtId="0" fontId="17" fillId="0" borderId="122" xfId="0" applyFont="1" applyBorder="1" applyAlignment="1">
      <alignment horizontal="center" vertical="center" wrapText="1"/>
    </xf>
    <xf numFmtId="0" fontId="0" fillId="0" borderId="114" xfId="0" applyBorder="1" applyAlignment="1"/>
    <xf numFmtId="0" fontId="17" fillId="0" borderId="19" xfId="0" applyFont="1" applyBorder="1" applyAlignment="1">
      <alignment horizontal="center" vertical="center" wrapText="1"/>
    </xf>
    <xf numFmtId="0" fontId="16" fillId="0" borderId="8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99" xfId="0" applyFont="1" applyBorder="1" applyAlignment="1">
      <alignment horizontal="center" vertical="center" wrapText="1"/>
    </xf>
    <xf numFmtId="0" fontId="7" fillId="0" borderId="165" xfId="0" applyFont="1" applyFill="1" applyBorder="1" applyAlignment="1">
      <alignment horizontal="center" wrapText="1"/>
    </xf>
    <xf numFmtId="0" fontId="113" fillId="0" borderId="52" xfId="0" applyFont="1" applyBorder="1" applyAlignment="1">
      <alignment wrapText="1"/>
    </xf>
    <xf numFmtId="0" fontId="7" fillId="0" borderId="19" xfId="0" applyFont="1" applyBorder="1" applyAlignment="1">
      <alignment horizontal="center" vertical="center" wrapText="1"/>
    </xf>
    <xf numFmtId="0" fontId="0" fillId="0" borderId="19" xfId="0" applyBorder="1" applyAlignment="1">
      <alignment wrapText="1"/>
    </xf>
    <xf numFmtId="0" fontId="0" fillId="0" borderId="99" xfId="0" applyBorder="1" applyAlignment="1">
      <alignment wrapText="1"/>
    </xf>
    <xf numFmtId="0" fontId="7" fillId="0" borderId="84" xfId="0" applyFont="1" applyBorder="1" applyAlignment="1">
      <alignment horizontal="center" vertical="center" wrapText="1"/>
    </xf>
    <xf numFmtId="0" fontId="7" fillId="0" borderId="99" xfId="0" applyFont="1" applyBorder="1" applyAlignment="1">
      <alignment horizontal="center" vertical="center" wrapText="1"/>
    </xf>
    <xf numFmtId="0" fontId="1" fillId="0" borderId="0" xfId="0" applyFont="1" applyAlignment="1">
      <alignment horizontal="justify" vertical="center" wrapText="1"/>
    </xf>
    <xf numFmtId="0" fontId="118" fillId="0" borderId="0" xfId="0" applyFont="1" applyAlignment="1">
      <alignment wrapText="1"/>
    </xf>
    <xf numFmtId="0" fontId="1" fillId="0" borderId="95" xfId="0" applyFont="1" applyBorder="1" applyAlignment="1">
      <alignment horizontal="center"/>
    </xf>
    <xf numFmtId="0" fontId="1" fillId="0" borderId="189" xfId="0" applyFont="1" applyBorder="1" applyAlignment="1">
      <alignment horizontal="center"/>
    </xf>
    <xf numFmtId="0" fontId="1" fillId="0" borderId="29" xfId="0" applyFont="1" applyBorder="1" applyAlignment="1">
      <alignment horizontal="center"/>
    </xf>
    <xf numFmtId="0" fontId="0" fillId="0" borderId="174" xfId="0" applyBorder="1" applyAlignment="1"/>
    <xf numFmtId="0" fontId="1" fillId="0" borderId="174" xfId="0" applyFont="1" applyBorder="1" applyAlignment="1">
      <alignment horizontal="center"/>
    </xf>
    <xf numFmtId="0" fontId="1" fillId="0" borderId="204" xfId="0" applyFont="1" applyBorder="1" applyAlignment="1">
      <alignment horizontal="center"/>
    </xf>
    <xf numFmtId="0" fontId="1" fillId="0" borderId="98" xfId="0" quotePrefix="1" applyFont="1" applyBorder="1" applyAlignment="1">
      <alignment horizontal="center"/>
    </xf>
    <xf numFmtId="0" fontId="7" fillId="0" borderId="210" xfId="0" applyFont="1" applyBorder="1" applyAlignment="1">
      <alignment horizontal="center"/>
    </xf>
    <xf numFmtId="0" fontId="7" fillId="0" borderId="99" xfId="0" applyFont="1" applyBorder="1" applyAlignment="1">
      <alignment horizontal="center"/>
    </xf>
    <xf numFmtId="0" fontId="7" fillId="0" borderId="84" xfId="0" applyFont="1" applyBorder="1" applyAlignment="1">
      <alignment horizontal="center"/>
    </xf>
    <xf numFmtId="183" fontId="7" fillId="0" borderId="220" xfId="0" applyNumberFormat="1" applyFont="1" applyBorder="1" applyAlignment="1">
      <alignment horizontal="center"/>
    </xf>
    <xf numFmtId="0" fontId="7" fillId="0" borderId="85" xfId="0" applyFont="1" applyBorder="1" applyAlignment="1">
      <alignment horizontal="center"/>
    </xf>
    <xf numFmtId="0" fontId="7" fillId="0" borderId="70" xfId="0" applyFont="1" applyBorder="1" applyAlignment="1">
      <alignment horizontal="center"/>
    </xf>
    <xf numFmtId="0" fontId="1" fillId="0" borderId="85" xfId="0" applyFont="1" applyBorder="1" applyAlignment="1">
      <alignment horizontal="center"/>
    </xf>
    <xf numFmtId="0" fontId="1" fillId="0" borderId="70" xfId="0" applyFont="1" applyBorder="1" applyAlignment="1">
      <alignment horizontal="center"/>
    </xf>
    <xf numFmtId="0" fontId="19" fillId="3" borderId="26"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14" fillId="0" borderId="84" xfId="0" applyFont="1" applyBorder="1" applyAlignment="1">
      <alignment vertical="center"/>
    </xf>
    <xf numFmtId="0" fontId="14" fillId="0" borderId="99" xfId="0" applyFont="1" applyBorder="1" applyAlignment="1">
      <alignment vertical="center"/>
    </xf>
    <xf numFmtId="0" fontId="19" fillId="3" borderId="23" xfId="0" applyFont="1" applyFill="1" applyBorder="1" applyAlignment="1" applyProtection="1">
      <alignment vertical="center"/>
      <protection locked="0"/>
    </xf>
    <xf numFmtId="0" fontId="19" fillId="3" borderId="183" xfId="0" applyFont="1" applyFill="1" applyBorder="1" applyAlignment="1" applyProtection="1">
      <alignment vertical="center"/>
      <protection locked="0"/>
    </xf>
    <xf numFmtId="0" fontId="17" fillId="0" borderId="8" xfId="0" applyFont="1" applyBorder="1" applyAlignment="1">
      <alignment horizontal="right" vertical="center"/>
    </xf>
    <xf numFmtId="0" fontId="17" fillId="0" borderId="9" xfId="0" applyFont="1" applyBorder="1" applyAlignment="1">
      <alignment horizontal="right" vertical="center"/>
    </xf>
    <xf numFmtId="0" fontId="17" fillId="0" borderId="43" xfId="0" applyFont="1" applyBorder="1" applyAlignment="1">
      <alignment horizontal="right" vertical="center"/>
    </xf>
    <xf numFmtId="0" fontId="19" fillId="3" borderId="185" xfId="0" applyFont="1" applyFill="1" applyBorder="1" applyAlignment="1" applyProtection="1">
      <alignment vertical="center"/>
      <protection locked="0"/>
    </xf>
    <xf numFmtId="0" fontId="19" fillId="3" borderId="187" xfId="0" applyFont="1" applyFill="1" applyBorder="1" applyAlignment="1" applyProtection="1">
      <alignment vertical="center"/>
      <protection locked="0"/>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19" fillId="3" borderId="41" xfId="0" applyFont="1" applyFill="1" applyBorder="1" applyAlignment="1" applyProtection="1">
      <alignment vertical="center"/>
      <protection locked="0"/>
    </xf>
    <xf numFmtId="0" fontId="15" fillId="0" borderId="8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99" xfId="0" applyFont="1" applyBorder="1" applyAlignment="1">
      <alignment horizontal="center" vertical="center" wrapText="1"/>
    </xf>
    <xf numFmtId="0" fontId="19" fillId="3" borderId="182" xfId="0" applyFont="1" applyFill="1" applyBorder="1" applyAlignment="1" applyProtection="1">
      <alignment vertical="center"/>
      <protection locked="0"/>
    </xf>
    <xf numFmtId="0" fontId="19" fillId="3" borderId="186" xfId="0" applyFont="1" applyFill="1" applyBorder="1" applyAlignment="1" applyProtection="1">
      <alignment vertical="center"/>
      <protection locked="0"/>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Typing, Duplicating, &amp; Printing" xfId="17"/>
    <cellStyle name="Percent" xfId="15" builtinId="5"/>
    <cellStyle name="Total" xfId="16" builtinId="25" customBuiltin="1"/>
  </cellStyles>
  <dxfs count="2">
    <dxf>
      <font>
        <b/>
        <i val="0"/>
        <condense val="0"/>
        <extend val="0"/>
        <color indexed="10"/>
      </font>
    </dxf>
    <dxf>
      <font>
        <b/>
        <i val="0"/>
        <condense val="0"/>
        <extend val="0"/>
        <color indexed="1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272141</xdr:colOff>
      <xdr:row>1</xdr:row>
      <xdr:rowOff>204107</xdr:rowOff>
    </xdr:from>
    <xdr:to>
      <xdr:col>3</xdr:col>
      <xdr:colOff>445189</xdr:colOff>
      <xdr:row>2</xdr:row>
      <xdr:rowOff>489858</xdr:rowOff>
    </xdr:to>
    <xdr:pic>
      <xdr:nvPicPr>
        <xdr:cNvPr id="3" name="Picture 1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1" y="1088571"/>
          <a:ext cx="3084977" cy="870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0</xdr:rowOff>
    </xdr:from>
    <xdr:to>
      <xdr:col>0</xdr:col>
      <xdr:colOff>0</xdr:colOff>
      <xdr:row>51</xdr:row>
      <xdr:rowOff>0</xdr:rowOff>
    </xdr:to>
    <xdr:sp macro="" textlink="">
      <xdr:nvSpPr>
        <xdr:cNvPr id="19499" name="AutoShape 1"/>
        <xdr:cNvSpPr>
          <a:spLocks/>
        </xdr:cNvSpPr>
      </xdr:nvSpPr>
      <xdr:spPr bwMode="auto">
        <a:xfrm>
          <a:off x="0" y="1594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54</xdr:row>
      <xdr:rowOff>647700</xdr:rowOff>
    </xdr:from>
    <xdr:to>
      <xdr:col>0</xdr:col>
      <xdr:colOff>0</xdr:colOff>
      <xdr:row>57</xdr:row>
      <xdr:rowOff>0</xdr:rowOff>
    </xdr:to>
    <xdr:sp macro="" textlink="">
      <xdr:nvSpPr>
        <xdr:cNvPr id="19500" name="AutoShape 2"/>
        <xdr:cNvSpPr>
          <a:spLocks/>
        </xdr:cNvSpPr>
      </xdr:nvSpPr>
      <xdr:spPr bwMode="auto">
        <a:xfrm>
          <a:off x="0" y="18078450"/>
          <a:ext cx="0" cy="7715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58</xdr:row>
      <xdr:rowOff>647700</xdr:rowOff>
    </xdr:from>
    <xdr:to>
      <xdr:col>0</xdr:col>
      <xdr:colOff>0</xdr:colOff>
      <xdr:row>59</xdr:row>
      <xdr:rowOff>0</xdr:rowOff>
    </xdr:to>
    <xdr:sp macro="" textlink="">
      <xdr:nvSpPr>
        <xdr:cNvPr id="19501" name="AutoShape 3"/>
        <xdr:cNvSpPr>
          <a:spLocks/>
        </xdr:cNvSpPr>
      </xdr:nvSpPr>
      <xdr:spPr bwMode="auto">
        <a:xfrm>
          <a:off x="0" y="19611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39</xdr:row>
      <xdr:rowOff>28575</xdr:rowOff>
    </xdr:from>
    <xdr:to>
      <xdr:col>0</xdr:col>
      <xdr:colOff>0</xdr:colOff>
      <xdr:row>46</xdr:row>
      <xdr:rowOff>542925</xdr:rowOff>
    </xdr:to>
    <xdr:sp macro="" textlink="">
      <xdr:nvSpPr>
        <xdr:cNvPr id="19502" name="AutoShape 4"/>
        <xdr:cNvSpPr>
          <a:spLocks/>
        </xdr:cNvSpPr>
      </xdr:nvSpPr>
      <xdr:spPr bwMode="auto">
        <a:xfrm>
          <a:off x="0" y="10544175"/>
          <a:ext cx="0" cy="37147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xdr:colOff>
      <xdr:row>1</xdr:row>
      <xdr:rowOff>76200</xdr:rowOff>
    </xdr:from>
    <xdr:to>
      <xdr:col>3</xdr:col>
      <xdr:colOff>2238375</xdr:colOff>
      <xdr:row>2</xdr:row>
      <xdr:rowOff>381000</xdr:rowOff>
    </xdr:to>
    <xdr:pic>
      <xdr:nvPicPr>
        <xdr:cNvPr id="19503"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775" y="666750"/>
          <a:ext cx="3409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129</xdr:row>
      <xdr:rowOff>28575</xdr:rowOff>
    </xdr:from>
    <xdr:to>
      <xdr:col>15</xdr:col>
      <xdr:colOff>190500</xdr:colOff>
      <xdr:row>130</xdr:row>
      <xdr:rowOff>152400</xdr:rowOff>
    </xdr:to>
    <xdr:sp macro="" textlink="">
      <xdr:nvSpPr>
        <xdr:cNvPr id="1137" name="AutoShape 6"/>
        <xdr:cNvSpPr>
          <a:spLocks/>
        </xdr:cNvSpPr>
      </xdr:nvSpPr>
      <xdr:spPr bwMode="auto">
        <a:xfrm>
          <a:off x="10134600" y="255841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126</xdr:row>
      <xdr:rowOff>28575</xdr:rowOff>
    </xdr:from>
    <xdr:to>
      <xdr:col>15</xdr:col>
      <xdr:colOff>190500</xdr:colOff>
      <xdr:row>127</xdr:row>
      <xdr:rowOff>152400</xdr:rowOff>
    </xdr:to>
    <xdr:sp macro="" textlink="">
      <xdr:nvSpPr>
        <xdr:cNvPr id="1138" name="AutoShape 7"/>
        <xdr:cNvSpPr>
          <a:spLocks/>
        </xdr:cNvSpPr>
      </xdr:nvSpPr>
      <xdr:spPr bwMode="auto">
        <a:xfrm>
          <a:off x="10134600" y="250698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157</xdr:row>
      <xdr:rowOff>28575</xdr:rowOff>
    </xdr:from>
    <xdr:to>
      <xdr:col>15</xdr:col>
      <xdr:colOff>190500</xdr:colOff>
      <xdr:row>158</xdr:row>
      <xdr:rowOff>152400</xdr:rowOff>
    </xdr:to>
    <xdr:sp macro="" textlink="">
      <xdr:nvSpPr>
        <xdr:cNvPr id="1139" name="AutoShape 8"/>
        <xdr:cNvSpPr>
          <a:spLocks/>
        </xdr:cNvSpPr>
      </xdr:nvSpPr>
      <xdr:spPr bwMode="auto">
        <a:xfrm>
          <a:off x="10134600" y="305752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160</xdr:row>
      <xdr:rowOff>28575</xdr:rowOff>
    </xdr:from>
    <xdr:to>
      <xdr:col>15</xdr:col>
      <xdr:colOff>190500</xdr:colOff>
      <xdr:row>161</xdr:row>
      <xdr:rowOff>152400</xdr:rowOff>
    </xdr:to>
    <xdr:sp macro="" textlink="">
      <xdr:nvSpPr>
        <xdr:cNvPr id="1140" name="AutoShape 9"/>
        <xdr:cNvSpPr>
          <a:spLocks/>
        </xdr:cNvSpPr>
      </xdr:nvSpPr>
      <xdr:spPr bwMode="auto">
        <a:xfrm>
          <a:off x="10134600" y="311467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1333500</xdr:colOff>
      <xdr:row>122</xdr:row>
      <xdr:rowOff>85725</xdr:rowOff>
    </xdr:from>
    <xdr:to>
      <xdr:col>15</xdr:col>
      <xdr:colOff>209550</xdr:colOff>
      <xdr:row>125</xdr:row>
      <xdr:rowOff>0</xdr:rowOff>
    </xdr:to>
    <xdr:sp macro="" textlink="">
      <xdr:nvSpPr>
        <xdr:cNvPr id="1141" name="AutoShape 12"/>
        <xdr:cNvSpPr>
          <a:spLocks/>
        </xdr:cNvSpPr>
      </xdr:nvSpPr>
      <xdr:spPr bwMode="auto">
        <a:xfrm>
          <a:off x="10096500" y="24536400"/>
          <a:ext cx="247650" cy="400050"/>
        </a:xfrm>
        <a:prstGeom prst="rightBrace">
          <a:avLst>
            <a:gd name="adj1" fmla="val 13462"/>
            <a:gd name="adj2" fmla="val 52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xdr:colOff>
      <xdr:row>132</xdr:row>
      <xdr:rowOff>57150</xdr:rowOff>
    </xdr:from>
    <xdr:to>
      <xdr:col>15</xdr:col>
      <xdr:colOff>295275</xdr:colOff>
      <xdr:row>133</xdr:row>
      <xdr:rowOff>152400</xdr:rowOff>
    </xdr:to>
    <xdr:sp macro="" textlink="">
      <xdr:nvSpPr>
        <xdr:cNvPr id="1142" name="AutoShape 13"/>
        <xdr:cNvSpPr>
          <a:spLocks/>
        </xdr:cNvSpPr>
      </xdr:nvSpPr>
      <xdr:spPr bwMode="auto">
        <a:xfrm>
          <a:off x="10144125" y="26117550"/>
          <a:ext cx="285750" cy="2857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134</xdr:row>
      <xdr:rowOff>85725</xdr:rowOff>
    </xdr:from>
    <xdr:to>
      <xdr:col>15</xdr:col>
      <xdr:colOff>190500</xdr:colOff>
      <xdr:row>137</xdr:row>
      <xdr:rowOff>0</xdr:rowOff>
    </xdr:to>
    <xdr:sp macro="" textlink="">
      <xdr:nvSpPr>
        <xdr:cNvPr id="1143" name="AutoShape 14"/>
        <xdr:cNvSpPr>
          <a:spLocks/>
        </xdr:cNvSpPr>
      </xdr:nvSpPr>
      <xdr:spPr bwMode="auto">
        <a:xfrm>
          <a:off x="10163175" y="26527125"/>
          <a:ext cx="161925" cy="400050"/>
        </a:xfrm>
        <a:prstGeom prst="rightBrace">
          <a:avLst>
            <a:gd name="adj1" fmla="val 205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138</xdr:row>
      <xdr:rowOff>28575</xdr:rowOff>
    </xdr:from>
    <xdr:to>
      <xdr:col>15</xdr:col>
      <xdr:colOff>190500</xdr:colOff>
      <xdr:row>140</xdr:row>
      <xdr:rowOff>0</xdr:rowOff>
    </xdr:to>
    <xdr:sp macro="" textlink="">
      <xdr:nvSpPr>
        <xdr:cNvPr id="1144" name="AutoShape 15"/>
        <xdr:cNvSpPr>
          <a:spLocks/>
        </xdr:cNvSpPr>
      </xdr:nvSpPr>
      <xdr:spPr bwMode="auto">
        <a:xfrm>
          <a:off x="10134600" y="27051000"/>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146</xdr:row>
      <xdr:rowOff>28575</xdr:rowOff>
    </xdr:from>
    <xdr:to>
      <xdr:col>15</xdr:col>
      <xdr:colOff>190500</xdr:colOff>
      <xdr:row>147</xdr:row>
      <xdr:rowOff>171450</xdr:rowOff>
    </xdr:to>
    <xdr:sp macro="" textlink="">
      <xdr:nvSpPr>
        <xdr:cNvPr id="1145" name="AutoShape 18"/>
        <xdr:cNvSpPr>
          <a:spLocks/>
        </xdr:cNvSpPr>
      </xdr:nvSpPr>
      <xdr:spPr bwMode="auto">
        <a:xfrm>
          <a:off x="10163175" y="285654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141</xdr:row>
      <xdr:rowOff>0</xdr:rowOff>
    </xdr:from>
    <xdr:to>
      <xdr:col>15</xdr:col>
      <xdr:colOff>247650</xdr:colOff>
      <xdr:row>142</xdr:row>
      <xdr:rowOff>152400</xdr:rowOff>
    </xdr:to>
    <xdr:sp macro="" textlink="">
      <xdr:nvSpPr>
        <xdr:cNvPr id="1146" name="AutoShape 21"/>
        <xdr:cNvSpPr>
          <a:spLocks/>
        </xdr:cNvSpPr>
      </xdr:nvSpPr>
      <xdr:spPr bwMode="auto">
        <a:xfrm>
          <a:off x="10172700" y="27527250"/>
          <a:ext cx="209550" cy="342900"/>
        </a:xfrm>
        <a:prstGeom prst="rightBrace">
          <a:avLst>
            <a:gd name="adj1" fmla="val 136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164</xdr:row>
      <xdr:rowOff>0</xdr:rowOff>
    </xdr:from>
    <xdr:to>
      <xdr:col>15</xdr:col>
      <xdr:colOff>190500</xdr:colOff>
      <xdr:row>164</xdr:row>
      <xdr:rowOff>0</xdr:rowOff>
    </xdr:to>
    <xdr:sp macro="" textlink="">
      <xdr:nvSpPr>
        <xdr:cNvPr id="1147" name="AutoShape 22"/>
        <xdr:cNvSpPr>
          <a:spLocks/>
        </xdr:cNvSpPr>
      </xdr:nvSpPr>
      <xdr:spPr bwMode="auto">
        <a:xfrm>
          <a:off x="10163175" y="3188970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164</xdr:row>
      <xdr:rowOff>0</xdr:rowOff>
    </xdr:from>
    <xdr:to>
      <xdr:col>15</xdr:col>
      <xdr:colOff>190500</xdr:colOff>
      <xdr:row>164</xdr:row>
      <xdr:rowOff>0</xdr:rowOff>
    </xdr:to>
    <xdr:sp macro="" textlink="">
      <xdr:nvSpPr>
        <xdr:cNvPr id="1148" name="AutoShape 23"/>
        <xdr:cNvSpPr>
          <a:spLocks/>
        </xdr:cNvSpPr>
      </xdr:nvSpPr>
      <xdr:spPr bwMode="auto">
        <a:xfrm>
          <a:off x="10134600" y="318897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120</xdr:row>
      <xdr:rowOff>38100</xdr:rowOff>
    </xdr:from>
    <xdr:to>
      <xdr:col>15</xdr:col>
      <xdr:colOff>219075</xdr:colOff>
      <xdr:row>121</xdr:row>
      <xdr:rowOff>161925</xdr:rowOff>
    </xdr:to>
    <xdr:sp macro="" textlink="">
      <xdr:nvSpPr>
        <xdr:cNvPr id="1149" name="AutoShape 48"/>
        <xdr:cNvSpPr>
          <a:spLocks/>
        </xdr:cNvSpPr>
      </xdr:nvSpPr>
      <xdr:spPr bwMode="auto">
        <a:xfrm>
          <a:off x="10163175" y="241077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165</xdr:row>
      <xdr:rowOff>28575</xdr:rowOff>
    </xdr:from>
    <xdr:to>
      <xdr:col>15</xdr:col>
      <xdr:colOff>190500</xdr:colOff>
      <xdr:row>166</xdr:row>
      <xdr:rowOff>171450</xdr:rowOff>
    </xdr:to>
    <xdr:sp macro="" textlink="">
      <xdr:nvSpPr>
        <xdr:cNvPr id="1150" name="AutoShape 49"/>
        <xdr:cNvSpPr>
          <a:spLocks/>
        </xdr:cNvSpPr>
      </xdr:nvSpPr>
      <xdr:spPr bwMode="auto">
        <a:xfrm>
          <a:off x="10163175" y="320325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85725</xdr:colOff>
      <xdr:row>0</xdr:row>
      <xdr:rowOff>66675</xdr:rowOff>
    </xdr:from>
    <xdr:to>
      <xdr:col>4</xdr:col>
      <xdr:colOff>209550</xdr:colOff>
      <xdr:row>2</xdr:row>
      <xdr:rowOff>0</xdr:rowOff>
    </xdr:to>
    <xdr:pic>
      <xdr:nvPicPr>
        <xdr:cNvPr id="1151" name="Picture 5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6667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314325</xdr:rowOff>
    </xdr:to>
    <xdr:sp macro="" textlink="">
      <xdr:nvSpPr>
        <xdr:cNvPr id="5135" name="Line 5"/>
        <xdr:cNvSpPr>
          <a:spLocks noChangeShapeType="1"/>
        </xdr:cNvSpPr>
      </xdr:nvSpPr>
      <xdr:spPr bwMode="auto">
        <a:xfrm>
          <a:off x="6572250" y="1524000"/>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4</xdr:row>
      <xdr:rowOff>19050</xdr:rowOff>
    </xdr:from>
    <xdr:to>
      <xdr:col>9</xdr:col>
      <xdr:colOff>0</xdr:colOff>
      <xdr:row>4</xdr:row>
      <xdr:rowOff>323850</xdr:rowOff>
    </xdr:to>
    <xdr:sp macro="" textlink="">
      <xdr:nvSpPr>
        <xdr:cNvPr id="5136" name="Line 6"/>
        <xdr:cNvSpPr>
          <a:spLocks noChangeShapeType="1"/>
        </xdr:cNvSpPr>
      </xdr:nvSpPr>
      <xdr:spPr bwMode="auto">
        <a:xfrm flipH="1">
          <a:off x="6562725" y="1533525"/>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6442" name="AutoShape 3"/>
        <xdr:cNvSpPr>
          <a:spLocks/>
        </xdr:cNvSpPr>
      </xdr:nvSpPr>
      <xdr:spPr bwMode="auto">
        <a:xfrm>
          <a:off x="0" y="4210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443" name="AutoShape 4"/>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19050</xdr:rowOff>
    </xdr:from>
    <xdr:to>
      <xdr:col>0</xdr:col>
      <xdr:colOff>0</xdr:colOff>
      <xdr:row>20</xdr:row>
      <xdr:rowOff>542925</xdr:rowOff>
    </xdr:to>
    <xdr:sp macro="" textlink="">
      <xdr:nvSpPr>
        <xdr:cNvPr id="16444" name="AutoShape 5"/>
        <xdr:cNvSpPr>
          <a:spLocks/>
        </xdr:cNvSpPr>
      </xdr:nvSpPr>
      <xdr:spPr bwMode="auto">
        <a:xfrm>
          <a:off x="0" y="4229100"/>
          <a:ext cx="0" cy="44291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16445" name="AutoShape 6"/>
        <xdr:cNvSpPr>
          <a:spLocks/>
        </xdr:cNvSpPr>
      </xdr:nvSpPr>
      <xdr:spPr bwMode="auto">
        <a:xfrm>
          <a:off x="0" y="107442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16446" name="AutoShape 7"/>
        <xdr:cNvSpPr>
          <a:spLocks/>
        </xdr:cNvSpPr>
      </xdr:nvSpPr>
      <xdr:spPr bwMode="auto">
        <a:xfrm>
          <a:off x="0" y="1091565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447" name="AutoShape 8"/>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647700</xdr:rowOff>
    </xdr:from>
    <xdr:to>
      <xdr:col>0</xdr:col>
      <xdr:colOff>0</xdr:colOff>
      <xdr:row>28</xdr:row>
      <xdr:rowOff>0</xdr:rowOff>
    </xdr:to>
    <xdr:sp macro="" textlink="">
      <xdr:nvSpPr>
        <xdr:cNvPr id="16448" name="AutoShape 9"/>
        <xdr:cNvSpPr>
          <a:spLocks/>
        </xdr:cNvSpPr>
      </xdr:nvSpPr>
      <xdr:spPr bwMode="auto">
        <a:xfrm>
          <a:off x="0" y="12506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49" name="AutoShape 10"/>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50" name="AutoShape 16"/>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428625</xdr:colOff>
      <xdr:row>2</xdr:row>
      <xdr:rowOff>254000</xdr:rowOff>
    </xdr:from>
    <xdr:to>
      <xdr:col>3</xdr:col>
      <xdr:colOff>314325</xdr:colOff>
      <xdr:row>5</xdr:row>
      <xdr:rowOff>73025</xdr:rowOff>
    </xdr:to>
    <xdr:pic>
      <xdr:nvPicPr>
        <xdr:cNvPr id="16451"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749300"/>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20531" name="AutoShape 1"/>
        <xdr:cNvSpPr>
          <a:spLocks/>
        </xdr:cNvSpPr>
      </xdr:nvSpPr>
      <xdr:spPr bwMode="auto">
        <a:xfrm>
          <a:off x="0" y="4210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0532" name="AutoShape 2"/>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19050</xdr:rowOff>
    </xdr:from>
    <xdr:to>
      <xdr:col>0</xdr:col>
      <xdr:colOff>0</xdr:colOff>
      <xdr:row>20</xdr:row>
      <xdr:rowOff>542925</xdr:rowOff>
    </xdr:to>
    <xdr:sp macro="" textlink="">
      <xdr:nvSpPr>
        <xdr:cNvPr id="20533" name="AutoShape 3"/>
        <xdr:cNvSpPr>
          <a:spLocks/>
        </xdr:cNvSpPr>
      </xdr:nvSpPr>
      <xdr:spPr bwMode="auto">
        <a:xfrm>
          <a:off x="0" y="4229100"/>
          <a:ext cx="0" cy="44291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20534" name="AutoShape 4"/>
        <xdr:cNvSpPr>
          <a:spLocks/>
        </xdr:cNvSpPr>
      </xdr:nvSpPr>
      <xdr:spPr bwMode="auto">
        <a:xfrm>
          <a:off x="0" y="107442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20535" name="AutoShape 5"/>
        <xdr:cNvSpPr>
          <a:spLocks/>
        </xdr:cNvSpPr>
      </xdr:nvSpPr>
      <xdr:spPr bwMode="auto">
        <a:xfrm>
          <a:off x="0" y="1091565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0536" name="AutoShape 6"/>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647700</xdr:rowOff>
    </xdr:from>
    <xdr:to>
      <xdr:col>0</xdr:col>
      <xdr:colOff>0</xdr:colOff>
      <xdr:row>28</xdr:row>
      <xdr:rowOff>0</xdr:rowOff>
    </xdr:to>
    <xdr:sp macro="" textlink="">
      <xdr:nvSpPr>
        <xdr:cNvPr id="20537" name="AutoShape 7"/>
        <xdr:cNvSpPr>
          <a:spLocks/>
        </xdr:cNvSpPr>
      </xdr:nvSpPr>
      <xdr:spPr bwMode="auto">
        <a:xfrm>
          <a:off x="0" y="12506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20538" name="AutoShape 8"/>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20539" name="AutoShape 9"/>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257175</xdr:colOff>
      <xdr:row>2</xdr:row>
      <xdr:rowOff>161925</xdr:rowOff>
    </xdr:from>
    <xdr:to>
      <xdr:col>3</xdr:col>
      <xdr:colOff>142875</xdr:colOff>
      <xdr:row>4</xdr:row>
      <xdr:rowOff>171450</xdr:rowOff>
    </xdr:to>
    <xdr:pic>
      <xdr:nvPicPr>
        <xdr:cNvPr id="20540"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572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31</xdr:row>
      <xdr:rowOff>28575</xdr:rowOff>
    </xdr:from>
    <xdr:to>
      <xdr:col>17</xdr:col>
      <xdr:colOff>190500</xdr:colOff>
      <xdr:row>32</xdr:row>
      <xdr:rowOff>152400</xdr:rowOff>
    </xdr:to>
    <xdr:sp macro="" textlink="">
      <xdr:nvSpPr>
        <xdr:cNvPr id="17484" name="AutoShape 3"/>
        <xdr:cNvSpPr>
          <a:spLocks/>
        </xdr:cNvSpPr>
      </xdr:nvSpPr>
      <xdr:spPr bwMode="auto">
        <a:xfrm>
          <a:off x="9896475" y="7058025"/>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28</xdr:row>
      <xdr:rowOff>28575</xdr:rowOff>
    </xdr:from>
    <xdr:to>
      <xdr:col>17</xdr:col>
      <xdr:colOff>190500</xdr:colOff>
      <xdr:row>29</xdr:row>
      <xdr:rowOff>152400</xdr:rowOff>
    </xdr:to>
    <xdr:sp macro="" textlink="">
      <xdr:nvSpPr>
        <xdr:cNvPr id="17485" name="AutoShape 4"/>
        <xdr:cNvSpPr>
          <a:spLocks/>
        </xdr:cNvSpPr>
      </xdr:nvSpPr>
      <xdr:spPr bwMode="auto">
        <a:xfrm>
          <a:off x="9896475" y="65246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24</xdr:row>
      <xdr:rowOff>161925</xdr:rowOff>
    </xdr:from>
    <xdr:to>
      <xdr:col>17</xdr:col>
      <xdr:colOff>190500</xdr:colOff>
      <xdr:row>27</xdr:row>
      <xdr:rowOff>0</xdr:rowOff>
    </xdr:to>
    <xdr:sp macro="" textlink="">
      <xdr:nvSpPr>
        <xdr:cNvPr id="17486" name="AutoShape 5"/>
        <xdr:cNvSpPr>
          <a:spLocks/>
        </xdr:cNvSpPr>
      </xdr:nvSpPr>
      <xdr:spPr bwMode="auto">
        <a:xfrm>
          <a:off x="9896475" y="5895975"/>
          <a:ext cx="190500" cy="409575"/>
        </a:xfrm>
        <a:prstGeom prst="rightBrace">
          <a:avLst>
            <a:gd name="adj1" fmla="val 1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28575</xdr:colOff>
      <xdr:row>34</xdr:row>
      <xdr:rowOff>9525</xdr:rowOff>
    </xdr:from>
    <xdr:to>
      <xdr:col>17</xdr:col>
      <xdr:colOff>190500</xdr:colOff>
      <xdr:row>35</xdr:row>
      <xdr:rowOff>152400</xdr:rowOff>
    </xdr:to>
    <xdr:sp macro="" textlink="">
      <xdr:nvSpPr>
        <xdr:cNvPr id="17487" name="AutoShape 6"/>
        <xdr:cNvSpPr>
          <a:spLocks/>
        </xdr:cNvSpPr>
      </xdr:nvSpPr>
      <xdr:spPr bwMode="auto">
        <a:xfrm>
          <a:off x="9925050" y="7705725"/>
          <a:ext cx="161925" cy="342900"/>
        </a:xfrm>
        <a:prstGeom prst="rightBrace">
          <a:avLst>
            <a:gd name="adj1" fmla="val 1764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37</xdr:row>
      <xdr:rowOff>28575</xdr:rowOff>
    </xdr:from>
    <xdr:to>
      <xdr:col>17</xdr:col>
      <xdr:colOff>190500</xdr:colOff>
      <xdr:row>39</xdr:row>
      <xdr:rowOff>0</xdr:rowOff>
    </xdr:to>
    <xdr:sp macro="" textlink="">
      <xdr:nvSpPr>
        <xdr:cNvPr id="17488" name="AutoShape 7"/>
        <xdr:cNvSpPr>
          <a:spLocks/>
        </xdr:cNvSpPr>
      </xdr:nvSpPr>
      <xdr:spPr bwMode="auto">
        <a:xfrm>
          <a:off x="9896475" y="8420100"/>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40</xdr:row>
      <xdr:rowOff>0</xdr:rowOff>
    </xdr:from>
    <xdr:to>
      <xdr:col>17</xdr:col>
      <xdr:colOff>190500</xdr:colOff>
      <xdr:row>42</xdr:row>
      <xdr:rowOff>0</xdr:rowOff>
    </xdr:to>
    <xdr:sp macro="" textlink="">
      <xdr:nvSpPr>
        <xdr:cNvPr id="17489" name="AutoShape 8"/>
        <xdr:cNvSpPr>
          <a:spLocks/>
        </xdr:cNvSpPr>
      </xdr:nvSpPr>
      <xdr:spPr bwMode="auto">
        <a:xfrm>
          <a:off x="9906000" y="9058275"/>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42</xdr:row>
      <xdr:rowOff>180975</xdr:rowOff>
    </xdr:from>
    <xdr:to>
      <xdr:col>17</xdr:col>
      <xdr:colOff>238125</xdr:colOff>
      <xdr:row>44</xdr:row>
      <xdr:rowOff>152400</xdr:rowOff>
    </xdr:to>
    <xdr:sp macro="" textlink="">
      <xdr:nvSpPr>
        <xdr:cNvPr id="17490" name="AutoShape 9"/>
        <xdr:cNvSpPr>
          <a:spLocks/>
        </xdr:cNvSpPr>
      </xdr:nvSpPr>
      <xdr:spPr bwMode="auto">
        <a:xfrm>
          <a:off x="9934575" y="9620250"/>
          <a:ext cx="200025" cy="352425"/>
        </a:xfrm>
        <a:prstGeom prst="rightBrace">
          <a:avLst>
            <a:gd name="adj1" fmla="val 146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49</xdr:row>
      <xdr:rowOff>28575</xdr:rowOff>
    </xdr:from>
    <xdr:to>
      <xdr:col>17</xdr:col>
      <xdr:colOff>190500</xdr:colOff>
      <xdr:row>50</xdr:row>
      <xdr:rowOff>152400</xdr:rowOff>
    </xdr:to>
    <xdr:sp macro="" textlink="">
      <xdr:nvSpPr>
        <xdr:cNvPr id="17491" name="AutoShape 16"/>
        <xdr:cNvSpPr>
          <a:spLocks/>
        </xdr:cNvSpPr>
      </xdr:nvSpPr>
      <xdr:spPr bwMode="auto">
        <a:xfrm>
          <a:off x="9896475" y="113061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52</xdr:row>
      <xdr:rowOff>28575</xdr:rowOff>
    </xdr:from>
    <xdr:to>
      <xdr:col>17</xdr:col>
      <xdr:colOff>190500</xdr:colOff>
      <xdr:row>53</xdr:row>
      <xdr:rowOff>152400</xdr:rowOff>
    </xdr:to>
    <xdr:sp macro="" textlink="">
      <xdr:nvSpPr>
        <xdr:cNvPr id="17492" name="AutoShape 17"/>
        <xdr:cNvSpPr>
          <a:spLocks/>
        </xdr:cNvSpPr>
      </xdr:nvSpPr>
      <xdr:spPr bwMode="auto">
        <a:xfrm>
          <a:off x="9896475" y="11877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22</xdr:row>
      <xdr:rowOff>28575</xdr:rowOff>
    </xdr:from>
    <xdr:to>
      <xdr:col>18</xdr:col>
      <xdr:colOff>9525</xdr:colOff>
      <xdr:row>23</xdr:row>
      <xdr:rowOff>161925</xdr:rowOff>
    </xdr:to>
    <xdr:sp macro="" textlink="">
      <xdr:nvSpPr>
        <xdr:cNvPr id="17493" name="AutoShape 22"/>
        <xdr:cNvSpPr>
          <a:spLocks/>
        </xdr:cNvSpPr>
      </xdr:nvSpPr>
      <xdr:spPr bwMode="auto">
        <a:xfrm>
          <a:off x="9934575" y="5381625"/>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381000</xdr:colOff>
      <xdr:row>0</xdr:row>
      <xdr:rowOff>276225</xdr:rowOff>
    </xdr:from>
    <xdr:to>
      <xdr:col>2</xdr:col>
      <xdr:colOff>276225</xdr:colOff>
      <xdr:row>3</xdr:row>
      <xdr:rowOff>28575</xdr:rowOff>
    </xdr:to>
    <xdr:pic>
      <xdr:nvPicPr>
        <xdr:cNvPr id="17494" name="Picture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762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E99"/>
  <sheetViews>
    <sheetView topLeftCell="A67" zoomScaleNormal="85" zoomScaleSheetLayoutView="100" workbookViewId="0">
      <selection activeCell="C73" sqref="C73"/>
    </sheetView>
  </sheetViews>
  <sheetFormatPr defaultRowHeight="15" x14ac:dyDescent="0.2"/>
  <cols>
    <col min="1" max="1" width="4.88671875" customWidth="1"/>
    <col min="2" max="2" width="77" customWidth="1"/>
  </cols>
  <sheetData>
    <row r="1" spans="1:5" ht="30" x14ac:dyDescent="0.2">
      <c r="A1" s="355"/>
      <c r="B1" s="356" t="s">
        <v>258</v>
      </c>
    </row>
    <row r="2" spans="1:5" x14ac:dyDescent="0.2">
      <c r="A2" s="355"/>
      <c r="B2" s="401"/>
    </row>
    <row r="3" spans="1:5" x14ac:dyDescent="0.2">
      <c r="A3" s="355"/>
      <c r="B3" s="355"/>
      <c r="D3" s="146"/>
      <c r="E3" s="147"/>
    </row>
    <row r="4" spans="1:5" x14ac:dyDescent="0.2">
      <c r="A4" s="355"/>
      <c r="B4" s="356" t="s">
        <v>226</v>
      </c>
    </row>
    <row r="5" spans="1:5" x14ac:dyDescent="0.2">
      <c r="A5" s="355"/>
      <c r="B5" s="355"/>
    </row>
    <row r="6" spans="1:5" x14ac:dyDescent="0.2">
      <c r="A6" s="355"/>
      <c r="B6" s="125" t="s">
        <v>125</v>
      </c>
    </row>
    <row r="7" spans="1:5" x14ac:dyDescent="0.2">
      <c r="A7" s="355"/>
      <c r="B7" s="125"/>
    </row>
    <row r="8" spans="1:5" ht="42.75" x14ac:dyDescent="0.2">
      <c r="A8" s="357">
        <v>1</v>
      </c>
      <c r="B8" s="358" t="s">
        <v>227</v>
      </c>
    </row>
    <row r="9" spans="1:5" x14ac:dyDescent="0.2">
      <c r="A9" s="357"/>
      <c r="B9" s="355"/>
    </row>
    <row r="10" spans="1:5" ht="71.25" x14ac:dyDescent="0.2">
      <c r="A10" s="357">
        <v>2</v>
      </c>
      <c r="B10" s="359" t="s">
        <v>409</v>
      </c>
    </row>
    <row r="11" spans="1:5" x14ac:dyDescent="0.2">
      <c r="A11" s="357"/>
      <c r="B11" s="360"/>
    </row>
    <row r="12" spans="1:5" ht="28.5" x14ac:dyDescent="0.2">
      <c r="A12" s="357">
        <v>3</v>
      </c>
      <c r="B12" s="355" t="s">
        <v>228</v>
      </c>
    </row>
    <row r="13" spans="1:5" x14ac:dyDescent="0.2">
      <c r="A13" s="357"/>
      <c r="B13" s="360"/>
    </row>
    <row r="14" spans="1:5" ht="28.5" x14ac:dyDescent="0.2">
      <c r="A14" s="357">
        <v>4</v>
      </c>
      <c r="B14" s="355" t="s">
        <v>229</v>
      </c>
    </row>
    <row r="15" spans="1:5" x14ac:dyDescent="0.2">
      <c r="A15" s="357"/>
      <c r="B15" s="355"/>
    </row>
    <row r="16" spans="1:5" ht="28.5" x14ac:dyDescent="0.2">
      <c r="A16" s="357">
        <v>5</v>
      </c>
      <c r="B16" s="355" t="s">
        <v>230</v>
      </c>
    </row>
    <row r="17" spans="1:2" x14ac:dyDescent="0.2">
      <c r="A17" s="357"/>
      <c r="B17" s="355"/>
    </row>
    <row r="18" spans="1:2" ht="28.5" x14ac:dyDescent="0.2">
      <c r="A18" s="357">
        <v>6</v>
      </c>
      <c r="B18" s="360" t="s">
        <v>231</v>
      </c>
    </row>
    <row r="19" spans="1:2" x14ac:dyDescent="0.2">
      <c r="A19" s="357"/>
      <c r="B19" s="360"/>
    </row>
    <row r="20" spans="1:2" ht="57" x14ac:dyDescent="0.2">
      <c r="A20" s="357">
        <v>7</v>
      </c>
      <c r="B20" s="358" t="s">
        <v>232</v>
      </c>
    </row>
    <row r="21" spans="1:2" x14ac:dyDescent="0.2">
      <c r="A21" s="357"/>
      <c r="B21" s="355"/>
    </row>
    <row r="22" spans="1:2" ht="28.5" x14ac:dyDescent="0.2">
      <c r="A22" s="357">
        <v>8</v>
      </c>
      <c r="B22" s="355" t="s">
        <v>233</v>
      </c>
    </row>
    <row r="23" spans="1:2" x14ac:dyDescent="0.2">
      <c r="A23" s="357"/>
      <c r="B23" s="355"/>
    </row>
    <row r="24" spans="1:2" ht="42.75" x14ac:dyDescent="0.2">
      <c r="A24" s="357">
        <v>9</v>
      </c>
      <c r="B24" s="355" t="s">
        <v>234</v>
      </c>
    </row>
    <row r="25" spans="1:2" x14ac:dyDescent="0.2">
      <c r="A25" s="357"/>
      <c r="B25" s="355"/>
    </row>
    <row r="26" spans="1:2" ht="60" x14ac:dyDescent="0.2">
      <c r="A26" s="357">
        <v>10</v>
      </c>
      <c r="B26" s="361" t="s">
        <v>235</v>
      </c>
    </row>
    <row r="27" spans="1:2" x14ac:dyDescent="0.2">
      <c r="A27" s="357"/>
      <c r="B27" s="356"/>
    </row>
    <row r="28" spans="1:2" ht="30" x14ac:dyDescent="0.2">
      <c r="A28" s="357">
        <v>11</v>
      </c>
      <c r="B28" s="356" t="s">
        <v>126</v>
      </c>
    </row>
    <row r="29" spans="1:2" x14ac:dyDescent="0.2">
      <c r="A29" s="357"/>
      <c r="B29" s="356"/>
    </row>
    <row r="30" spans="1:2" ht="28.5" x14ac:dyDescent="0.2">
      <c r="A30" s="357">
        <v>12</v>
      </c>
      <c r="B30" s="355" t="s">
        <v>236</v>
      </c>
    </row>
    <row r="31" spans="1:2" x14ac:dyDescent="0.2">
      <c r="A31" s="357"/>
      <c r="B31" s="355"/>
    </row>
    <row r="32" spans="1:2" x14ac:dyDescent="0.2">
      <c r="A32" s="357">
        <v>13</v>
      </c>
      <c r="B32" s="358" t="s">
        <v>237</v>
      </c>
    </row>
    <row r="33" spans="1:2" x14ac:dyDescent="0.2">
      <c r="A33" s="357"/>
      <c r="B33" s="358"/>
    </row>
    <row r="34" spans="1:2" x14ac:dyDescent="0.2">
      <c r="A34" s="357">
        <v>14</v>
      </c>
      <c r="B34" s="358" t="s">
        <v>238</v>
      </c>
    </row>
    <row r="35" spans="1:2" x14ac:dyDescent="0.2">
      <c r="A35" s="357"/>
      <c r="B35" s="355"/>
    </row>
    <row r="36" spans="1:2" x14ac:dyDescent="0.2">
      <c r="A36" s="357"/>
      <c r="B36" s="356"/>
    </row>
    <row r="37" spans="1:2" x14ac:dyDescent="0.2">
      <c r="A37" s="357"/>
      <c r="B37" s="356" t="s">
        <v>127</v>
      </c>
    </row>
    <row r="38" spans="1:2" x14ac:dyDescent="0.2">
      <c r="A38" s="357"/>
      <c r="B38" s="355"/>
    </row>
    <row r="39" spans="1:2" x14ac:dyDescent="0.2">
      <c r="A39" s="357">
        <v>1</v>
      </c>
      <c r="B39" s="355" t="s">
        <v>128</v>
      </c>
    </row>
    <row r="40" spans="1:2" x14ac:dyDescent="0.2">
      <c r="A40" s="357"/>
      <c r="B40" s="355"/>
    </row>
    <row r="41" spans="1:2" ht="28.5" x14ac:dyDescent="0.2">
      <c r="A41" s="357">
        <v>2</v>
      </c>
      <c r="B41" s="355" t="s">
        <v>239</v>
      </c>
    </row>
    <row r="42" spans="1:2" x14ac:dyDescent="0.2">
      <c r="A42" s="357"/>
      <c r="B42" s="125"/>
    </row>
    <row r="43" spans="1:2" x14ac:dyDescent="0.2">
      <c r="A43" s="357">
        <v>3</v>
      </c>
      <c r="B43" s="355" t="s">
        <v>129</v>
      </c>
    </row>
    <row r="44" spans="1:2" x14ac:dyDescent="0.2">
      <c r="A44" s="357"/>
      <c r="B44" s="355"/>
    </row>
    <row r="45" spans="1:2" ht="28.5" x14ac:dyDescent="0.2">
      <c r="A45" s="357">
        <v>4</v>
      </c>
      <c r="B45" s="355" t="s">
        <v>130</v>
      </c>
    </row>
    <row r="46" spans="1:2" x14ac:dyDescent="0.2">
      <c r="A46" s="357"/>
      <c r="B46" s="360"/>
    </row>
    <row r="47" spans="1:2" ht="28.5" x14ac:dyDescent="0.2">
      <c r="A47" s="357">
        <v>5</v>
      </c>
      <c r="B47" s="355" t="s">
        <v>131</v>
      </c>
    </row>
    <row r="48" spans="1:2" x14ac:dyDescent="0.2">
      <c r="A48" s="357"/>
      <c r="B48" s="355"/>
    </row>
    <row r="49" spans="1:2" x14ac:dyDescent="0.2">
      <c r="A49" s="357">
        <f>A47+1</f>
        <v>6</v>
      </c>
      <c r="B49" s="355" t="s">
        <v>402</v>
      </c>
    </row>
    <row r="50" spans="1:2" x14ac:dyDescent="0.2">
      <c r="A50" s="357"/>
      <c r="B50" s="355"/>
    </row>
    <row r="51" spans="1:2" ht="57" x14ac:dyDescent="0.2">
      <c r="A51" s="357">
        <f>A49+1</f>
        <v>7</v>
      </c>
      <c r="B51" s="358" t="s">
        <v>132</v>
      </c>
    </row>
    <row r="52" spans="1:2" x14ac:dyDescent="0.2">
      <c r="A52" s="357"/>
      <c r="B52" s="355"/>
    </row>
    <row r="53" spans="1:2" ht="42.75" x14ac:dyDescent="0.2">
      <c r="A53" s="357">
        <f>A51+1</f>
        <v>8</v>
      </c>
      <c r="B53" s="355" t="s">
        <v>363</v>
      </c>
    </row>
    <row r="54" spans="1:2" x14ac:dyDescent="0.2">
      <c r="A54" s="357"/>
      <c r="B54" s="355"/>
    </row>
    <row r="55" spans="1:2" ht="57" x14ac:dyDescent="0.2">
      <c r="A55" s="357">
        <f>A53+1</f>
        <v>9</v>
      </c>
      <c r="B55" s="358" t="s">
        <v>133</v>
      </c>
    </row>
    <row r="56" spans="1:2" x14ac:dyDescent="0.2">
      <c r="A56" s="357"/>
      <c r="B56" s="358"/>
    </row>
    <row r="57" spans="1:2" ht="42.75" x14ac:dyDescent="0.2">
      <c r="A57" s="357">
        <f>A55+1</f>
        <v>10</v>
      </c>
      <c r="B57" s="358" t="s">
        <v>240</v>
      </c>
    </row>
    <row r="58" spans="1:2" x14ac:dyDescent="0.2">
      <c r="A58" s="357"/>
      <c r="B58" s="355"/>
    </row>
    <row r="59" spans="1:2" ht="28.5" x14ac:dyDescent="0.2">
      <c r="A59" s="357">
        <f>A57+1</f>
        <v>11</v>
      </c>
      <c r="B59" s="355" t="s">
        <v>241</v>
      </c>
    </row>
    <row r="60" spans="1:2" x14ac:dyDescent="0.2">
      <c r="A60" s="357"/>
      <c r="B60" s="358"/>
    </row>
    <row r="61" spans="1:2" ht="28.5" x14ac:dyDescent="0.2">
      <c r="A61" s="357">
        <f>A59+1</f>
        <v>12</v>
      </c>
      <c r="B61" s="358" t="s">
        <v>242</v>
      </c>
    </row>
    <row r="62" spans="1:2" x14ac:dyDescent="0.2">
      <c r="A62" s="357"/>
      <c r="B62" s="358"/>
    </row>
    <row r="63" spans="1:2" ht="42.75" x14ac:dyDescent="0.2">
      <c r="A63" s="357">
        <f>A61+1</f>
        <v>13</v>
      </c>
      <c r="B63" s="358" t="s">
        <v>408</v>
      </c>
    </row>
    <row r="64" spans="1:2" x14ac:dyDescent="0.2">
      <c r="A64" s="357"/>
      <c r="B64" s="355"/>
    </row>
    <row r="66" spans="1:2" ht="38.25" x14ac:dyDescent="0.2">
      <c r="B66" s="976" t="s">
        <v>404</v>
      </c>
    </row>
    <row r="68" spans="1:2" ht="15.75" x14ac:dyDescent="0.2">
      <c r="A68" s="1022" t="s">
        <v>36</v>
      </c>
      <c r="B68" s="1023" t="s">
        <v>415</v>
      </c>
    </row>
    <row r="69" spans="1:2" x14ac:dyDescent="0.2">
      <c r="A69" s="1024"/>
      <c r="B69" s="1025"/>
    </row>
    <row r="70" spans="1:2" ht="45" x14ac:dyDescent="0.2">
      <c r="A70" s="1024"/>
      <c r="B70" s="1631" t="s">
        <v>668</v>
      </c>
    </row>
    <row r="71" spans="1:2" x14ac:dyDescent="0.2">
      <c r="A71" s="1024"/>
      <c r="B71" s="1025"/>
    </row>
    <row r="72" spans="1:2" x14ac:dyDescent="0.2">
      <c r="A72" s="1024" t="s">
        <v>416</v>
      </c>
      <c r="B72" s="1025" t="s">
        <v>417</v>
      </c>
    </row>
    <row r="73" spans="1:2" x14ac:dyDescent="0.2">
      <c r="A73" s="1024"/>
      <c r="B73" s="1025"/>
    </row>
    <row r="74" spans="1:2" x14ac:dyDescent="0.2">
      <c r="A74" s="1024" t="s">
        <v>418</v>
      </c>
      <c r="B74" s="1025" t="s">
        <v>663</v>
      </c>
    </row>
    <row r="75" spans="1:2" x14ac:dyDescent="0.2">
      <c r="A75" s="1024"/>
      <c r="B75" s="1025"/>
    </row>
    <row r="76" spans="1:2" ht="30" x14ac:dyDescent="0.2">
      <c r="A76" s="1024" t="s">
        <v>419</v>
      </c>
      <c r="B76" s="1025" t="s">
        <v>664</v>
      </c>
    </row>
    <row r="77" spans="1:2" x14ac:dyDescent="0.2">
      <c r="A77" s="1024"/>
      <c r="B77" s="1025"/>
    </row>
    <row r="78" spans="1:2" x14ac:dyDescent="0.2">
      <c r="A78" s="1024" t="s">
        <v>420</v>
      </c>
      <c r="B78" s="1630" t="s">
        <v>665</v>
      </c>
    </row>
    <row r="79" spans="1:2" x14ac:dyDescent="0.2">
      <c r="A79" s="1024"/>
      <c r="B79" s="1025"/>
    </row>
    <row r="80" spans="1:2" ht="30" x14ac:dyDescent="0.2">
      <c r="A80" s="1024" t="s">
        <v>421</v>
      </c>
      <c r="B80" s="1025" t="s">
        <v>666</v>
      </c>
    </row>
    <row r="81" spans="1:2" x14ac:dyDescent="0.2">
      <c r="A81" s="1024"/>
      <c r="B81" s="1025"/>
    </row>
    <row r="82" spans="1:2" ht="30" x14ac:dyDescent="0.2">
      <c r="A82" s="1024" t="s">
        <v>422</v>
      </c>
      <c r="B82" s="1630" t="s">
        <v>667</v>
      </c>
    </row>
    <row r="83" spans="1:2" x14ac:dyDescent="0.2">
      <c r="A83" s="1024"/>
      <c r="B83" s="1025"/>
    </row>
    <row r="84" spans="1:2" ht="30" x14ac:dyDescent="0.2">
      <c r="A84" s="1024" t="s">
        <v>423</v>
      </c>
      <c r="B84" s="1025" t="s">
        <v>424</v>
      </c>
    </row>
    <row r="85" spans="1:2" x14ac:dyDescent="0.2">
      <c r="A85" s="1024"/>
      <c r="B85" s="1025"/>
    </row>
    <row r="86" spans="1:2" x14ac:dyDescent="0.2">
      <c r="A86" s="1024"/>
      <c r="B86" s="1025"/>
    </row>
    <row r="87" spans="1:2" x14ac:dyDescent="0.2">
      <c r="A87" s="1024">
        <f>A66+1</f>
        <v>1</v>
      </c>
      <c r="B87" s="1025" t="s">
        <v>22</v>
      </c>
    </row>
    <row r="88" spans="1:2" ht="25.5" x14ac:dyDescent="0.2">
      <c r="A88" s="1024"/>
      <c r="B88" s="1087" t="s">
        <v>403</v>
      </c>
    </row>
    <row r="89" spans="1:2" x14ac:dyDescent="0.2">
      <c r="B89" s="1008"/>
    </row>
    <row r="96" spans="1:2" x14ac:dyDescent="0.2">
      <c r="A96" s="395" t="s">
        <v>245</v>
      </c>
    </row>
    <row r="99" spans="1:1" x14ac:dyDescent="0.2">
      <c r="A99" s="402" t="s">
        <v>266</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0" type="noConversion"/>
  <pageMargins left="0.75" right="0.75" top="1" bottom="1" header="0.5" footer="0.5"/>
  <pageSetup paperSize="9" scale="76" orientation="portrait" r:id="rId2"/>
  <headerFooter alignWithMargins="0"/>
  <rowBreaks count="1" manualBreakCount="1">
    <brk id="36"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58"/>
  <sheetViews>
    <sheetView workbookViewId="0">
      <selection activeCell="E6" sqref="E6:L7"/>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 min="13" max="13" width="3.44140625" customWidth="1"/>
    <col min="14" max="14" width="15.109375" bestFit="1" customWidth="1"/>
  </cols>
  <sheetData>
    <row r="1" spans="1:12" ht="15.75" thickTop="1" x14ac:dyDescent="0.2">
      <c r="A1" s="1028"/>
      <c r="B1" s="1029"/>
      <c r="C1" s="1029"/>
      <c r="D1" s="1029"/>
      <c r="E1" s="1029"/>
      <c r="F1" s="1029"/>
      <c r="G1" s="1029"/>
      <c r="H1" s="1029"/>
      <c r="I1" s="1029"/>
      <c r="J1" s="1029"/>
      <c r="K1" s="1029" t="s">
        <v>425</v>
      </c>
      <c r="L1" s="1030"/>
    </row>
    <row r="2" spans="1:12" ht="15.75" x14ac:dyDescent="0.25">
      <c r="A2" s="1031"/>
      <c r="B2" s="1032"/>
      <c r="C2" s="1032"/>
      <c r="D2" s="1032"/>
      <c r="E2" s="1032"/>
      <c r="F2" s="1033" t="s">
        <v>426</v>
      </c>
      <c r="G2" s="1032"/>
      <c r="H2" s="1032"/>
      <c r="I2" s="1032"/>
      <c r="J2" s="1032"/>
      <c r="K2" s="1032"/>
      <c r="L2" s="1034"/>
    </row>
    <row r="3" spans="1:12" x14ac:dyDescent="0.2">
      <c r="A3" s="1031"/>
      <c r="B3" s="1032"/>
      <c r="C3" s="1032"/>
      <c r="D3" s="1032"/>
      <c r="E3" s="1032"/>
      <c r="F3" s="1032"/>
      <c r="G3" s="1032"/>
      <c r="H3" s="1032"/>
      <c r="I3" s="1032"/>
      <c r="J3" s="1032"/>
      <c r="K3" s="1032"/>
      <c r="L3" s="1035"/>
    </row>
    <row r="4" spans="1:12" x14ac:dyDescent="0.2">
      <c r="A4" s="1031"/>
      <c r="B4" s="1032"/>
      <c r="C4" s="1032"/>
      <c r="D4" s="1032"/>
      <c r="E4" s="1032"/>
      <c r="F4" s="1036" t="s">
        <v>427</v>
      </c>
      <c r="G4" s="1727">
        <f>'Input Data'!D29</f>
        <v>0</v>
      </c>
      <c r="H4" s="1032"/>
      <c r="I4" s="1032"/>
      <c r="J4" s="1037" t="s">
        <v>4</v>
      </c>
      <c r="K4" s="1032" t="s">
        <v>428</v>
      </c>
      <c r="L4" s="1038">
        <f>'Input Data'!D28</f>
        <v>0</v>
      </c>
    </row>
    <row r="5" spans="1:12" x14ac:dyDescent="0.2">
      <c r="A5" s="1031"/>
      <c r="B5" s="1032"/>
      <c r="C5" s="1032"/>
      <c r="D5" s="1032"/>
      <c r="E5" s="1032"/>
      <c r="F5" s="1032"/>
      <c r="G5" s="1032"/>
      <c r="H5" s="1032"/>
      <c r="I5" s="1032"/>
      <c r="J5" s="1032"/>
      <c r="K5" s="1032"/>
      <c r="L5" s="1039"/>
    </row>
    <row r="6" spans="1:12" x14ac:dyDescent="0.2">
      <c r="A6" s="1031"/>
      <c r="B6" s="1040" t="s">
        <v>429</v>
      </c>
      <c r="C6" s="1032"/>
      <c r="D6" s="1040" t="s">
        <v>428</v>
      </c>
      <c r="E6" s="2092">
        <f>'Input Data'!D12</f>
        <v>0</v>
      </c>
      <c r="F6" s="2093"/>
      <c r="G6" s="2093"/>
      <c r="H6" s="2093"/>
      <c r="I6" s="2093"/>
      <c r="J6" s="2093"/>
      <c r="K6" s="2093"/>
      <c r="L6" s="2094"/>
    </row>
    <row r="7" spans="1:12" x14ac:dyDescent="0.2">
      <c r="A7" s="1031"/>
      <c r="B7" s="1040"/>
      <c r="C7" s="1032"/>
      <c r="D7" s="1040"/>
      <c r="E7" s="2095"/>
      <c r="F7" s="2095"/>
      <c r="G7" s="2095"/>
      <c r="H7" s="2095"/>
      <c r="I7" s="2095"/>
      <c r="J7" s="2095"/>
      <c r="K7" s="2095"/>
      <c r="L7" s="2096"/>
    </row>
    <row r="8" spans="1:12" x14ac:dyDescent="0.2">
      <c r="A8" s="1031"/>
      <c r="B8" s="1040"/>
      <c r="C8" s="1032"/>
      <c r="D8" s="1040"/>
      <c r="E8" s="1043"/>
      <c r="F8" s="1047"/>
      <c r="G8" s="1044"/>
      <c r="H8" s="1044"/>
      <c r="I8" s="1044"/>
      <c r="J8" s="1044"/>
      <c r="K8" s="1044"/>
      <c r="L8" s="1045"/>
    </row>
    <row r="9" spans="1:12" x14ac:dyDescent="0.2">
      <c r="A9" s="1031"/>
      <c r="B9" s="1032"/>
      <c r="C9" s="1032"/>
      <c r="D9" s="1032"/>
      <c r="E9" s="1046" t="s">
        <v>430</v>
      </c>
      <c r="F9" s="1728">
        <f>'Input Data'!D6</f>
        <v>0</v>
      </c>
      <c r="G9" s="1047"/>
      <c r="H9" s="146"/>
      <c r="I9" s="1047"/>
      <c r="K9" s="1047"/>
      <c r="L9" s="1039"/>
    </row>
    <row r="10" spans="1:12" x14ac:dyDescent="0.2">
      <c r="A10" s="1031"/>
      <c r="B10" s="1032"/>
      <c r="C10" s="1048"/>
      <c r="D10" s="1032"/>
      <c r="E10" s="1049"/>
      <c r="F10" s="1050"/>
      <c r="G10" s="1050"/>
      <c r="H10" s="1050"/>
      <c r="I10" s="1050"/>
      <c r="J10" s="1050"/>
      <c r="K10" s="1041"/>
      <c r="L10" s="1042"/>
    </row>
    <row r="11" spans="1:12" x14ac:dyDescent="0.2">
      <c r="A11" s="1031"/>
      <c r="B11" s="1040" t="s">
        <v>431</v>
      </c>
      <c r="C11" s="1032"/>
      <c r="D11" s="1040" t="s">
        <v>428</v>
      </c>
      <c r="E11" s="2097">
        <f>'Input Data'!D$13</f>
        <v>0</v>
      </c>
      <c r="F11" s="2098"/>
      <c r="G11" s="2098"/>
      <c r="H11" s="2098"/>
      <c r="I11" s="2098"/>
      <c r="J11" s="2098"/>
      <c r="K11" s="2098"/>
      <c r="L11" s="2099"/>
    </row>
    <row r="12" spans="1:12" x14ac:dyDescent="0.2">
      <c r="A12" s="1031"/>
      <c r="B12" s="1040" t="s">
        <v>432</v>
      </c>
      <c r="C12" s="1032"/>
      <c r="D12" s="1032"/>
      <c r="E12" s="2100">
        <f>'Input Data'!D14</f>
        <v>0</v>
      </c>
      <c r="F12" s="2101"/>
      <c r="G12" s="2101"/>
      <c r="H12" s="2101"/>
      <c r="I12" s="2101"/>
      <c r="J12" s="2101"/>
      <c r="K12" s="1032" t="s">
        <v>475</v>
      </c>
      <c r="L12" s="1126">
        <f>'Input Data'!H14</f>
        <v>0</v>
      </c>
    </row>
    <row r="13" spans="1:12" x14ac:dyDescent="0.2">
      <c r="A13" s="1031"/>
      <c r="B13" s="1040" t="s">
        <v>433</v>
      </c>
      <c r="C13" s="1032"/>
      <c r="D13" s="1040" t="s">
        <v>428</v>
      </c>
      <c r="E13" s="1125">
        <f>'Input Data'!D5</f>
        <v>0</v>
      </c>
      <c r="F13" s="1041"/>
      <c r="G13" s="1032"/>
      <c r="H13" s="1036" t="s">
        <v>434</v>
      </c>
      <c r="I13" s="1051" t="s">
        <v>428</v>
      </c>
      <c r="J13" s="1125">
        <f>'Input Data'!D30</f>
        <v>0</v>
      </c>
      <c r="K13" s="1041"/>
      <c r="L13" s="1035"/>
    </row>
    <row r="14" spans="1:12" x14ac:dyDescent="0.2">
      <c r="A14" s="1031"/>
      <c r="B14" s="1032"/>
      <c r="C14" s="1032"/>
      <c r="D14" s="1032"/>
      <c r="E14" s="1032"/>
      <c r="F14" s="1032"/>
      <c r="G14" s="1032"/>
      <c r="H14" s="1032"/>
      <c r="I14" s="1032"/>
      <c r="J14" s="1032"/>
      <c r="K14" s="1032"/>
      <c r="L14" s="1035"/>
    </row>
    <row r="15" spans="1:12" x14ac:dyDescent="0.2">
      <c r="A15" s="1031"/>
      <c r="B15" s="1040" t="s">
        <v>435</v>
      </c>
      <c r="C15" s="1032"/>
      <c r="D15" s="1040" t="s">
        <v>428</v>
      </c>
      <c r="E15" s="1125">
        <f>'Input Data'!D18</f>
        <v>0</v>
      </c>
      <c r="F15" s="1041"/>
      <c r="G15" s="1032"/>
      <c r="H15" s="1036" t="s">
        <v>436</v>
      </c>
      <c r="I15" s="1051" t="s">
        <v>428</v>
      </c>
      <c r="J15" s="1052">
        <v>0</v>
      </c>
      <c r="K15" s="1050"/>
      <c r="L15" s="1035"/>
    </row>
    <row r="16" spans="1:12" x14ac:dyDescent="0.2">
      <c r="A16" s="1031"/>
      <c r="B16" s="1040"/>
      <c r="C16" s="1032"/>
      <c r="D16" s="1040"/>
      <c r="E16" s="1040"/>
      <c r="F16" s="1032"/>
      <c r="G16" s="1032"/>
      <c r="H16" s="1040"/>
      <c r="I16" s="1040"/>
      <c r="J16" s="1040"/>
      <c r="K16" s="1032"/>
      <c r="L16" s="1053"/>
    </row>
    <row r="17" spans="1:14" ht="15.75" x14ac:dyDescent="0.25">
      <c r="A17" s="1054"/>
      <c r="B17" s="1040" t="s">
        <v>437</v>
      </c>
      <c r="C17" s="1032"/>
      <c r="D17" s="1032"/>
      <c r="E17" s="1032"/>
      <c r="F17" s="1032"/>
      <c r="G17" s="1032"/>
      <c r="H17" s="1032"/>
      <c r="I17" s="1032"/>
      <c r="J17" s="1032"/>
      <c r="K17" s="1032"/>
      <c r="L17" s="1055" t="s">
        <v>438</v>
      </c>
    </row>
    <row r="18" spans="1:14" x14ac:dyDescent="0.2">
      <c r="A18" s="2114" t="s">
        <v>439</v>
      </c>
      <c r="B18" s="1032"/>
      <c r="C18" s="1032"/>
      <c r="D18" s="1032"/>
      <c r="E18" s="1032"/>
      <c r="F18" s="1056"/>
      <c r="G18" s="1032"/>
      <c r="H18" s="1032"/>
      <c r="I18" s="1032"/>
      <c r="J18" s="1032"/>
      <c r="K18" s="1032"/>
      <c r="L18" s="1057"/>
    </row>
    <row r="19" spans="1:14" x14ac:dyDescent="0.2">
      <c r="A19" s="2115"/>
      <c r="B19" s="1040" t="s">
        <v>440</v>
      </c>
      <c r="C19" s="1032"/>
      <c r="D19" s="1040" t="s">
        <v>428</v>
      </c>
      <c r="E19" s="1056" t="s">
        <v>476</v>
      </c>
      <c r="F19" s="1056"/>
      <c r="G19" s="1032"/>
      <c r="H19" s="1032" t="s">
        <v>441</v>
      </c>
      <c r="I19" s="1032"/>
      <c r="J19" s="1032"/>
      <c r="K19" s="1032"/>
      <c r="L19" s="1644">
        <f>'Civ_Struct_Eng_Tax Invoice '!Q71-'Civ_Struct_Eng_Tax Invoice '!B109</f>
        <v>0</v>
      </c>
      <c r="N19" s="1617"/>
    </row>
    <row r="20" spans="1:14" x14ac:dyDescent="0.2">
      <c r="A20" s="2115"/>
      <c r="B20" s="1032"/>
      <c r="C20" s="1032"/>
      <c r="D20" s="1032"/>
      <c r="E20" s="1032"/>
      <c r="F20" s="1032"/>
      <c r="G20" s="1032"/>
      <c r="H20" s="1220" t="s">
        <v>661</v>
      </c>
      <c r="I20" s="1032"/>
      <c r="J20" s="1058"/>
      <c r="K20" s="1032"/>
      <c r="L20" s="1645">
        <f>-'Civ_Struct_Eng_Tax Invoice '!Q78</f>
        <v>0</v>
      </c>
    </row>
    <row r="21" spans="1:14" ht="15" customHeight="1" x14ac:dyDescent="0.2">
      <c r="A21" s="2116"/>
      <c r="B21" s="1032"/>
      <c r="C21" s="1171"/>
      <c r="D21" s="1171"/>
      <c r="E21" s="1171"/>
      <c r="F21" s="1171"/>
      <c r="G21" s="1171"/>
      <c r="H21" s="2112" t="s">
        <v>442</v>
      </c>
      <c r="I21" s="1171"/>
      <c r="J21" s="2112" t="s">
        <v>443</v>
      </c>
      <c r="K21" s="1032"/>
      <c r="L21" s="1645"/>
    </row>
    <row r="22" spans="1:14" x14ac:dyDescent="0.2">
      <c r="A22" s="1059" t="s">
        <v>444</v>
      </c>
      <c r="B22" s="1040" t="s">
        <v>445</v>
      </c>
      <c r="C22" s="1171"/>
      <c r="D22" s="1040" t="s">
        <v>428</v>
      </c>
      <c r="E22" s="1335"/>
      <c r="F22" s="1171"/>
      <c r="G22" s="1171"/>
      <c r="H22" s="2113"/>
      <c r="I22" s="1171"/>
      <c r="J22" s="2113"/>
      <c r="K22" s="1032"/>
      <c r="L22" s="1644"/>
    </row>
    <row r="23" spans="1:14" x14ac:dyDescent="0.2">
      <c r="A23" s="1060"/>
      <c r="B23" s="1040"/>
      <c r="C23" s="1172" t="s">
        <v>658</v>
      </c>
      <c r="D23" s="1172"/>
      <c r="E23" s="1172"/>
      <c r="F23" s="1172"/>
      <c r="G23" s="1172"/>
      <c r="H23" s="1651">
        <f>'Time Based'!I23</f>
        <v>0</v>
      </c>
      <c r="I23" s="1172"/>
      <c r="J23" s="1651">
        <f>H23-'Time Based'!I24</f>
        <v>0</v>
      </c>
      <c r="K23" s="1032"/>
      <c r="L23" s="1645"/>
    </row>
    <row r="24" spans="1:14" x14ac:dyDescent="0.2">
      <c r="A24" s="1060"/>
      <c r="B24" s="1040"/>
      <c r="C24" s="1171" t="s">
        <v>446</v>
      </c>
      <c r="D24" s="1040"/>
      <c r="E24" s="1171"/>
      <c r="F24" s="1171"/>
      <c r="G24" s="1171"/>
      <c r="H24" s="1652">
        <f>'Time Based'!I38</f>
        <v>0</v>
      </c>
      <c r="I24" s="1171"/>
      <c r="J24" s="1652">
        <f>H24-'Time Based'!I39</f>
        <v>0</v>
      </c>
      <c r="K24" s="1032"/>
      <c r="L24" s="1645"/>
    </row>
    <row r="25" spans="1:14" x14ac:dyDescent="0.2">
      <c r="A25" s="1060"/>
      <c r="B25" s="1032"/>
      <c r="C25" s="1171" t="s">
        <v>447</v>
      </c>
      <c r="D25" s="1040"/>
      <c r="E25" s="1171"/>
      <c r="F25" s="1171"/>
      <c r="G25" s="1171"/>
      <c r="H25" s="1653">
        <f>'Time Based'!I53</f>
        <v>0</v>
      </c>
      <c r="I25" s="1171"/>
      <c r="J25" s="1653">
        <f>H25-'Time Based'!I54</f>
        <v>0</v>
      </c>
      <c r="K25" s="1032"/>
      <c r="L25" s="1645"/>
    </row>
    <row r="26" spans="1:14" x14ac:dyDescent="0.2">
      <c r="A26" s="1060"/>
      <c r="B26" s="1032"/>
      <c r="C26" s="1171" t="s">
        <v>448</v>
      </c>
      <c r="D26" s="1335"/>
      <c r="E26" s="1171"/>
      <c r="F26" s="1171"/>
      <c r="G26" s="1171"/>
      <c r="H26" s="1653">
        <f>'Time Based'!I67</f>
        <v>0</v>
      </c>
      <c r="I26" s="1171"/>
      <c r="J26" s="1653">
        <f>H26-'Time Based'!I68</f>
        <v>0</v>
      </c>
      <c r="K26" s="1032"/>
      <c r="L26" s="1645"/>
    </row>
    <row r="27" spans="1:14" x14ac:dyDescent="0.2">
      <c r="A27" s="1060"/>
      <c r="C27" s="1335"/>
      <c r="H27" s="1653"/>
      <c r="I27" s="1171"/>
      <c r="J27" s="1653"/>
      <c r="K27" s="1032"/>
      <c r="L27" s="1645"/>
    </row>
    <row r="28" spans="1:14" ht="15.75" thickBot="1" x14ac:dyDescent="0.25">
      <c r="A28" s="1060"/>
      <c r="B28" s="1040" t="s">
        <v>449</v>
      </c>
      <c r="C28" s="1171" t="s">
        <v>450</v>
      </c>
      <c r="D28" s="1171"/>
      <c r="E28" s="1171"/>
      <c r="F28" s="1171"/>
      <c r="G28" s="1171"/>
      <c r="H28" s="1656">
        <v>0</v>
      </c>
      <c r="I28" s="1171"/>
      <c r="J28" s="1654">
        <f>H28</f>
        <v>0</v>
      </c>
      <c r="K28" s="1032"/>
      <c r="L28" s="1645"/>
    </row>
    <row r="29" spans="1:14" ht="15.75" thickBot="1" x14ac:dyDescent="0.25">
      <c r="A29" s="1060"/>
      <c r="B29" s="1032"/>
      <c r="C29" s="1171"/>
      <c r="D29" s="1040"/>
      <c r="E29" s="1171"/>
      <c r="F29" s="1171"/>
      <c r="G29" s="1061" t="s">
        <v>636</v>
      </c>
      <c r="H29" s="1657">
        <f>SUM(H23:H28)</f>
        <v>0</v>
      </c>
      <c r="I29" s="1171"/>
      <c r="J29" s="1655">
        <f>SUM(J24:J28)</f>
        <v>0</v>
      </c>
      <c r="K29" s="1032"/>
      <c r="L29" s="1644">
        <f>J29</f>
        <v>0</v>
      </c>
    </row>
    <row r="30" spans="1:14" x14ac:dyDescent="0.2">
      <c r="A30" s="1060"/>
      <c r="B30" s="1032"/>
      <c r="C30" s="1171"/>
      <c r="D30" s="1171"/>
      <c r="E30" s="1171"/>
      <c r="F30" s="1171"/>
      <c r="G30" s="1171"/>
      <c r="H30" s="1171"/>
      <c r="I30" s="1171"/>
      <c r="J30" s="1588"/>
      <c r="K30" s="1032"/>
      <c r="L30" s="1645"/>
    </row>
    <row r="31" spans="1:14" x14ac:dyDescent="0.2">
      <c r="A31" s="1060"/>
      <c r="B31" s="1032"/>
      <c r="C31" s="1032"/>
      <c r="D31" s="1032"/>
      <c r="E31" s="1032"/>
      <c r="F31" s="1032"/>
      <c r="G31" s="1032"/>
      <c r="H31" s="2109" t="s">
        <v>451</v>
      </c>
      <c r="I31" s="2110"/>
      <c r="J31" s="2111"/>
      <c r="K31" s="1032"/>
      <c r="L31" s="1645"/>
    </row>
    <row r="32" spans="1:14" x14ac:dyDescent="0.2">
      <c r="A32" s="1060"/>
      <c r="B32" s="1040" t="s">
        <v>452</v>
      </c>
      <c r="C32" s="1032"/>
      <c r="D32" s="1032"/>
      <c r="E32" s="1032"/>
      <c r="F32" s="1032"/>
      <c r="G32" s="1032"/>
      <c r="H32" s="2112" t="s">
        <v>442</v>
      </c>
      <c r="I32" s="1062"/>
      <c r="J32" s="2112" t="s">
        <v>443</v>
      </c>
      <c r="K32" s="1032"/>
      <c r="L32" s="1645"/>
    </row>
    <row r="33" spans="1:13" ht="15" customHeight="1" x14ac:dyDescent="0.2">
      <c r="A33" s="1060"/>
      <c r="B33" s="1032"/>
      <c r="C33" s="1032"/>
      <c r="D33" s="1032"/>
      <c r="E33" s="1032"/>
      <c r="F33" s="1032"/>
      <c r="G33" s="1032"/>
      <c r="H33" s="2113"/>
      <c r="I33" s="1063"/>
      <c r="J33" s="2113"/>
      <c r="K33" s="1032"/>
      <c r="L33" s="1645"/>
    </row>
    <row r="34" spans="1:13" x14ac:dyDescent="0.2">
      <c r="A34" s="1059" t="s">
        <v>453</v>
      </c>
      <c r="B34" s="1040" t="s">
        <v>454</v>
      </c>
      <c r="C34" s="1032"/>
      <c r="D34" s="1040" t="s">
        <v>428</v>
      </c>
      <c r="E34" s="1064"/>
      <c r="F34" s="1065"/>
      <c r="G34" s="1066"/>
      <c r="H34" s="1729">
        <f>'Subsistence &amp; Travelling'!O86</f>
        <v>0</v>
      </c>
      <c r="I34" s="1067"/>
      <c r="J34" s="1729">
        <f>H34-'Subsistence &amp; Travelling'!O87</f>
        <v>0</v>
      </c>
      <c r="K34" s="1032"/>
      <c r="L34" s="1645"/>
      <c r="M34" s="218"/>
    </row>
    <row r="35" spans="1:13" x14ac:dyDescent="0.2">
      <c r="A35" s="1059"/>
      <c r="B35" s="1040" t="s">
        <v>291</v>
      </c>
      <c r="C35" s="1056"/>
      <c r="D35" s="1068"/>
      <c r="E35" s="1056"/>
      <c r="F35" s="2102"/>
      <c r="G35" s="2103"/>
      <c r="H35" s="1730"/>
      <c r="I35" s="1067"/>
      <c r="J35" s="1730"/>
      <c r="K35" s="1032"/>
      <c r="L35" s="1645"/>
    </row>
    <row r="36" spans="1:13" x14ac:dyDescent="0.2">
      <c r="A36" s="1059" t="s">
        <v>455</v>
      </c>
      <c r="B36" s="1040" t="s">
        <v>456</v>
      </c>
      <c r="C36" s="1056"/>
      <c r="D36" s="1068"/>
      <c r="E36" s="1056"/>
      <c r="F36" s="2102"/>
      <c r="G36" s="2103"/>
      <c r="H36" s="1729">
        <f>'Typing, Duplicating, &amp; Printing'!J63</f>
        <v>0</v>
      </c>
      <c r="I36" s="1067"/>
      <c r="J36" s="1729">
        <f>H36-'Typing, Duplicating, &amp; Printing'!J64</f>
        <v>0</v>
      </c>
      <c r="K36" s="1032"/>
      <c r="L36" s="1645"/>
    </row>
    <row r="37" spans="1:13" ht="15.75" thickBot="1" x14ac:dyDescent="0.25">
      <c r="A37" s="1059"/>
      <c r="B37" s="1032"/>
      <c r="C37" s="1056"/>
      <c r="D37" s="1056"/>
      <c r="E37" s="1056"/>
      <c r="F37" s="1056"/>
      <c r="G37" s="1056"/>
      <c r="H37" s="1730"/>
      <c r="I37" s="1067"/>
      <c r="J37" s="1730"/>
      <c r="K37" s="1032"/>
      <c r="L37" s="1645"/>
    </row>
    <row r="38" spans="1:13" ht="15.75" thickBot="1" x14ac:dyDescent="0.25">
      <c r="A38" s="1060"/>
      <c r="B38" s="1032"/>
      <c r="C38" s="2108" t="s">
        <v>457</v>
      </c>
      <c r="D38" s="2108"/>
      <c r="E38" s="2108"/>
      <c r="F38" s="2108"/>
      <c r="G38" s="2108"/>
      <c r="H38" s="1657">
        <f>SUM(H34:H37)</f>
        <v>0</v>
      </c>
      <c r="I38" s="1032"/>
      <c r="J38" s="1731">
        <f>SUM(J34:J37)</f>
        <v>0</v>
      </c>
      <c r="K38" s="1032"/>
      <c r="L38" s="1644">
        <f>J38</f>
        <v>0</v>
      </c>
    </row>
    <row r="39" spans="1:13" x14ac:dyDescent="0.2">
      <c r="A39" s="1070"/>
      <c r="B39" s="1032"/>
      <c r="C39" s="1056"/>
      <c r="D39" s="1056"/>
      <c r="E39" s="1056"/>
      <c r="F39" s="1056"/>
      <c r="G39" s="1056"/>
      <c r="H39" s="1032"/>
      <c r="I39" s="1032"/>
      <c r="J39" s="1071"/>
      <c r="K39" s="1032"/>
      <c r="L39" s="1645"/>
    </row>
    <row r="40" spans="1:13" x14ac:dyDescent="0.2">
      <c r="A40" s="1070"/>
      <c r="B40" s="1040" t="s">
        <v>458</v>
      </c>
      <c r="C40" s="1056"/>
      <c r="D40" s="1056"/>
      <c r="E40" s="1056"/>
      <c r="F40" s="1056"/>
      <c r="G40" s="1056"/>
      <c r="H40" s="2109" t="s">
        <v>459</v>
      </c>
      <c r="I40" s="2110"/>
      <c r="J40" s="2111"/>
      <c r="K40" s="1032"/>
      <c r="L40" s="1645"/>
    </row>
    <row r="41" spans="1:13" x14ac:dyDescent="0.2">
      <c r="A41" s="1070"/>
      <c r="B41" s="1032"/>
      <c r="C41" s="1056"/>
      <c r="D41" s="1056"/>
      <c r="E41" s="1056"/>
      <c r="F41" s="1056"/>
      <c r="G41" s="1056"/>
      <c r="H41" s="2112" t="s">
        <v>442</v>
      </c>
      <c r="I41" s="1062"/>
      <c r="J41" s="2112" t="s">
        <v>443</v>
      </c>
      <c r="K41" s="1032"/>
      <c r="L41" s="1645"/>
    </row>
    <row r="42" spans="1:13" ht="15" customHeight="1" x14ac:dyDescent="0.2">
      <c r="A42" s="1070"/>
      <c r="B42" s="1032"/>
      <c r="C42" s="1056"/>
      <c r="D42" s="1056"/>
      <c r="E42" s="1056"/>
      <c r="F42" s="1056"/>
      <c r="G42" s="1056"/>
      <c r="H42" s="2113"/>
      <c r="I42" s="1063"/>
      <c r="J42" s="2113"/>
      <c r="K42" s="1032"/>
      <c r="L42" s="1645"/>
    </row>
    <row r="43" spans="1:13" x14ac:dyDescent="0.2">
      <c r="A43" s="1059" t="s">
        <v>269</v>
      </c>
      <c r="B43" s="1040" t="s">
        <v>460</v>
      </c>
      <c r="C43" s="1056"/>
      <c r="D43" s="1068"/>
      <c r="E43" s="1056"/>
      <c r="F43" s="2102"/>
      <c r="G43" s="2103"/>
      <c r="H43" s="1732">
        <f>'Site staff &amp; Other'!I49</f>
        <v>0</v>
      </c>
      <c r="I43" s="1032"/>
      <c r="J43" s="1732">
        <f>H43-'Site staff &amp; Other'!I50</f>
        <v>0</v>
      </c>
      <c r="K43" s="1032"/>
      <c r="L43" s="1645"/>
    </row>
    <row r="44" spans="1:13" x14ac:dyDescent="0.2">
      <c r="A44" s="1059"/>
      <c r="B44" s="1032"/>
      <c r="C44" s="1056"/>
      <c r="D44" s="1056"/>
      <c r="E44" s="1056"/>
      <c r="F44" s="1056"/>
      <c r="G44" s="1072"/>
      <c r="H44" s="1730"/>
      <c r="I44" s="1032"/>
      <c r="J44" s="1730"/>
      <c r="K44" s="1032"/>
      <c r="L44" s="1645"/>
    </row>
    <row r="45" spans="1:13" x14ac:dyDescent="0.2">
      <c r="A45" s="1059" t="s">
        <v>269</v>
      </c>
      <c r="B45" s="1040" t="s">
        <v>461</v>
      </c>
      <c r="C45" s="1056"/>
      <c r="D45" s="1068"/>
      <c r="E45" s="1056"/>
      <c r="F45" s="1065"/>
      <c r="G45" s="1066"/>
      <c r="H45" s="1729">
        <f>'Site staff &amp; Other'!I64</f>
        <v>0</v>
      </c>
      <c r="I45" s="1032"/>
      <c r="J45" s="1729">
        <f>H45-'Site staff &amp; Other'!I65</f>
        <v>0</v>
      </c>
      <c r="K45" s="1032"/>
      <c r="L45" s="1645"/>
    </row>
    <row r="46" spans="1:13" ht="15.75" thickBot="1" x14ac:dyDescent="0.25">
      <c r="A46" s="1059"/>
      <c r="B46" s="1032"/>
      <c r="C46" s="1056"/>
      <c r="D46" s="1056"/>
      <c r="E46" s="1056"/>
      <c r="F46" s="1056"/>
      <c r="G46" s="1072"/>
      <c r="H46" s="1730"/>
      <c r="I46" s="1032"/>
      <c r="J46" s="1730"/>
      <c r="K46" s="1032"/>
      <c r="L46" s="1645"/>
    </row>
    <row r="47" spans="1:13" ht="15.75" thickBot="1" x14ac:dyDescent="0.25">
      <c r="A47" s="1070"/>
      <c r="B47" s="2104" t="s">
        <v>462</v>
      </c>
      <c r="C47" s="2105"/>
      <c r="D47" s="2105"/>
      <c r="E47" s="2105"/>
      <c r="F47" s="2105"/>
      <c r="G47" s="2105"/>
      <c r="H47" s="1733">
        <f>SUM(H43:H46)</f>
        <v>0</v>
      </c>
      <c r="I47" s="1032"/>
      <c r="J47" s="1731">
        <f>SUM(J43:J46)</f>
        <v>0</v>
      </c>
      <c r="K47" s="1032"/>
      <c r="L47" s="1644">
        <f>J47</f>
        <v>0</v>
      </c>
    </row>
    <row r="48" spans="1:13" x14ac:dyDescent="0.2">
      <c r="A48" s="1070"/>
      <c r="B48" s="1032"/>
      <c r="C48" s="1032"/>
      <c r="D48" s="1032"/>
      <c r="E48" s="1032"/>
      <c r="F48" s="1032"/>
      <c r="G48" s="1032"/>
      <c r="H48" s="1590"/>
      <c r="I48" s="1032"/>
      <c r="J48" s="1032"/>
      <c r="K48" s="1032"/>
      <c r="L48" s="1645"/>
    </row>
    <row r="49" spans="1:14" ht="16.5" thickBot="1" x14ac:dyDescent="0.3">
      <c r="A49" s="1073" t="s">
        <v>463</v>
      </c>
      <c r="B49" s="1074" t="s">
        <v>291</v>
      </c>
      <c r="C49" s="1075"/>
      <c r="D49" s="1075"/>
      <c r="E49" s="1075"/>
      <c r="F49" s="146"/>
      <c r="G49" s="1037" t="s">
        <v>464</v>
      </c>
      <c r="H49" s="1734">
        <f>'Non Taxable'!J18</f>
        <v>0</v>
      </c>
      <c r="I49" s="477"/>
      <c r="J49" s="1736">
        <f>'Non Taxable'!J20</f>
        <v>0</v>
      </c>
      <c r="K49" s="1032"/>
      <c r="L49" s="1646">
        <f>J49</f>
        <v>0</v>
      </c>
    </row>
    <row r="50" spans="1:14" ht="15.75" thickBot="1" x14ac:dyDescent="0.25">
      <c r="A50" s="1070"/>
      <c r="B50" s="1075"/>
      <c r="C50" s="1076"/>
      <c r="D50" s="1036"/>
      <c r="E50" s="1036"/>
      <c r="F50" s="146"/>
      <c r="G50" s="1036" t="s">
        <v>465</v>
      </c>
      <c r="H50" s="1735">
        <f>SUM(H23:H28)+SUM(H34:H36)+SUM(H43:H45)+H49</f>
        <v>0</v>
      </c>
      <c r="I50" s="477"/>
      <c r="J50" s="1735">
        <f>SUM(J23:J28)+SUM(J34:J36)+SUM(J43:J45)+J49</f>
        <v>0</v>
      </c>
      <c r="K50" s="1032"/>
      <c r="L50" s="1645"/>
    </row>
    <row r="51" spans="1:14" x14ac:dyDescent="0.2">
      <c r="A51" s="1070"/>
      <c r="B51" s="1076"/>
      <c r="C51" s="1076"/>
      <c r="D51" s="1076"/>
      <c r="E51" s="1032"/>
      <c r="F51" s="1032"/>
      <c r="G51" s="1032"/>
      <c r="H51" s="1032"/>
      <c r="I51" s="1032"/>
      <c r="J51" s="1032"/>
      <c r="K51" s="1032"/>
      <c r="L51" s="1645"/>
    </row>
    <row r="52" spans="1:14" x14ac:dyDescent="0.2">
      <c r="A52" s="1070"/>
      <c r="B52" s="1077"/>
      <c r="C52" s="1077"/>
      <c r="D52" s="1077"/>
      <c r="E52" s="1078"/>
      <c r="F52" s="1069"/>
      <c r="G52" s="1069"/>
      <c r="H52" s="1069"/>
      <c r="I52" s="1069"/>
      <c r="J52" s="1069"/>
      <c r="K52" s="1069"/>
      <c r="L52" s="1647"/>
    </row>
    <row r="53" spans="1:14" x14ac:dyDescent="0.2">
      <c r="A53" s="1070"/>
      <c r="B53" s="1056"/>
      <c r="C53" s="1056"/>
      <c r="D53" s="1056"/>
      <c r="E53" s="1079" t="s">
        <v>466</v>
      </c>
      <c r="F53" s="1032"/>
      <c r="G53" s="1032"/>
      <c r="H53" s="1032"/>
      <c r="I53" s="1032"/>
      <c r="J53" s="1032"/>
      <c r="K53" s="1032"/>
      <c r="L53" s="1648">
        <f>SUM(L18:L47)</f>
        <v>0</v>
      </c>
    </row>
    <row r="54" spans="1:14" x14ac:dyDescent="0.2">
      <c r="A54" s="1070"/>
      <c r="B54" s="1056"/>
      <c r="C54" s="1056"/>
      <c r="D54" s="1056"/>
      <c r="E54" s="1079" t="s">
        <v>467</v>
      </c>
      <c r="F54" s="1080">
        <v>0.14000000000000001</v>
      </c>
      <c r="G54" s="1032" t="s">
        <v>468</v>
      </c>
      <c r="H54" s="1081">
        <f>L53</f>
        <v>0</v>
      </c>
      <c r="I54" s="1032"/>
      <c r="J54" s="1032"/>
      <c r="K54" s="1032"/>
      <c r="L54" s="1645">
        <f>F54*L53</f>
        <v>0</v>
      </c>
    </row>
    <row r="55" spans="1:14" ht="15.75" thickBot="1" x14ac:dyDescent="0.25">
      <c r="A55" s="1070"/>
      <c r="B55" s="1056"/>
      <c r="C55" s="1056"/>
      <c r="D55" s="1056"/>
      <c r="E55" s="1196" t="s">
        <v>662</v>
      </c>
      <c r="F55" s="1032"/>
      <c r="G55" s="1032"/>
      <c r="H55" s="1032"/>
      <c r="I55" s="1032"/>
      <c r="J55" s="1032"/>
      <c r="K55" s="1032"/>
      <c r="L55" s="1649">
        <f>L49</f>
        <v>0</v>
      </c>
    </row>
    <row r="56" spans="1:14" ht="15.75" thickBot="1" x14ac:dyDescent="0.25">
      <c r="A56" s="1070"/>
      <c r="B56" s="1082"/>
      <c r="C56" s="1082"/>
      <c r="D56" s="1082"/>
      <c r="E56" s="2106" t="s">
        <v>469</v>
      </c>
      <c r="F56" s="2107"/>
      <c r="G56" s="2107"/>
      <c r="H56" s="2107"/>
      <c r="I56" s="1058"/>
      <c r="J56" s="1058"/>
      <c r="K56" s="1058"/>
      <c r="L56" s="1650">
        <f>L53+L54+L55</f>
        <v>0</v>
      </c>
      <c r="N56" s="1616"/>
    </row>
    <row r="57" spans="1:14" ht="15.75" thickBot="1" x14ac:dyDescent="0.25">
      <c r="A57" s="1083"/>
      <c r="B57" s="1084" t="s">
        <v>470</v>
      </c>
      <c r="C57" s="1085"/>
      <c r="D57" s="1085"/>
      <c r="E57" s="1085"/>
      <c r="F57" s="1085"/>
      <c r="G57" s="1085"/>
      <c r="H57" s="1085"/>
      <c r="I57" s="1085"/>
      <c r="J57" s="1085"/>
      <c r="K57" s="1085"/>
      <c r="L57" s="1086"/>
    </row>
    <row r="58" spans="1:14" ht="15.75" thickTop="1" x14ac:dyDescent="0.2"/>
  </sheetData>
  <sheetProtection password="CD4C" sheet="1" objects="1" scenarios="1" formatCells="0" formatColumns="0" formatRows="0"/>
  <mergeCells count="18">
    <mergeCell ref="A18:A21"/>
    <mergeCell ref="H21:H22"/>
    <mergeCell ref="J21:J22"/>
    <mergeCell ref="H31:J31"/>
    <mergeCell ref="H32:H33"/>
    <mergeCell ref="J32:J33"/>
    <mergeCell ref="E56:H56"/>
    <mergeCell ref="F35:G35"/>
    <mergeCell ref="F36:G36"/>
    <mergeCell ref="C38:G38"/>
    <mergeCell ref="H40:J40"/>
    <mergeCell ref="H41:H42"/>
    <mergeCell ref="J41:J42"/>
    <mergeCell ref="E6:L7"/>
    <mergeCell ref="E11:L11"/>
    <mergeCell ref="E12:J12"/>
    <mergeCell ref="F43:G43"/>
    <mergeCell ref="B47:G4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I74"/>
  <sheetViews>
    <sheetView zoomScale="75" zoomScaleNormal="75" zoomScaleSheetLayoutView="90" workbookViewId="0">
      <selection activeCell="G3" sqref="G3"/>
    </sheetView>
  </sheetViews>
  <sheetFormatPr defaultRowHeight="15" x14ac:dyDescent="0.2"/>
  <cols>
    <col min="1" max="1" width="5.5546875" customWidth="1"/>
    <col min="2" max="2" width="8.6640625" customWidth="1"/>
    <col min="3" max="3" width="11.6640625" customWidth="1"/>
    <col min="4" max="4" width="14" bestFit="1" customWidth="1"/>
    <col min="5" max="5" width="7.109375" customWidth="1"/>
    <col min="6" max="6" width="28.109375" customWidth="1"/>
    <col min="7" max="7" width="9.21875" customWidth="1"/>
    <col min="8" max="8" width="7.6640625" customWidth="1"/>
    <col min="9" max="9" width="12.109375" customWidth="1"/>
  </cols>
  <sheetData>
    <row r="1" spans="1:9" ht="18.75" thickTop="1" x14ac:dyDescent="0.2">
      <c r="A1" s="1581" t="s">
        <v>29</v>
      </c>
      <c r="B1" s="989"/>
      <c r="C1" s="168"/>
      <c r="D1" s="168"/>
      <c r="E1" s="168"/>
      <c r="F1" s="168"/>
      <c r="G1" s="168"/>
      <c r="H1" s="168"/>
      <c r="I1" s="169"/>
    </row>
    <row r="2" spans="1:9" ht="15.75" x14ac:dyDescent="0.2">
      <c r="A2" s="246" t="s">
        <v>189</v>
      </c>
      <c r="B2" s="485"/>
      <c r="C2" s="171"/>
      <c r="D2" s="171"/>
      <c r="E2" s="2"/>
      <c r="F2" s="2"/>
      <c r="G2" s="2"/>
      <c r="H2" s="171"/>
      <c r="I2" s="308" t="s">
        <v>194</v>
      </c>
    </row>
    <row r="3" spans="1:9" x14ac:dyDescent="0.2">
      <c r="A3" s="170"/>
      <c r="B3" s="171"/>
      <c r="C3" s="2117" t="s">
        <v>310</v>
      </c>
      <c r="D3" s="2117"/>
      <c r="E3" s="1722">
        <f>'Input Data'!D29</f>
        <v>0</v>
      </c>
      <c r="F3" s="1621" t="s">
        <v>243</v>
      </c>
      <c r="G3" s="1026">
        <f>'Input Data'!D6</f>
        <v>0</v>
      </c>
      <c r="H3" s="171"/>
      <c r="I3" s="172"/>
    </row>
    <row r="4" spans="1:9" x14ac:dyDescent="0.2">
      <c r="A4" s="997" t="s">
        <v>30</v>
      </c>
      <c r="B4" s="174"/>
      <c r="C4" s="173" t="s">
        <v>4</v>
      </c>
      <c r="D4" s="171" t="s">
        <v>31</v>
      </c>
      <c r="E4" s="174" t="s">
        <v>30</v>
      </c>
      <c r="F4" s="173" t="s">
        <v>4</v>
      </c>
      <c r="G4" s="171" t="s">
        <v>31</v>
      </c>
      <c r="H4" s="171"/>
      <c r="I4" s="172"/>
    </row>
    <row r="5" spans="1:9" x14ac:dyDescent="0.2">
      <c r="A5" s="175" t="s">
        <v>32</v>
      </c>
      <c r="B5" s="1621"/>
      <c r="C5" s="176"/>
      <c r="D5" s="176"/>
      <c r="E5" s="1621" t="s">
        <v>33</v>
      </c>
      <c r="F5" s="176"/>
      <c r="G5" s="2118"/>
      <c r="H5" s="2119"/>
      <c r="I5" s="2120"/>
    </row>
    <row r="6" spans="1:9" x14ac:dyDescent="0.2">
      <c r="A6" s="175" t="s">
        <v>34</v>
      </c>
      <c r="B6" s="1621"/>
      <c r="C6" s="176"/>
      <c r="D6" s="176"/>
      <c r="E6" s="1621" t="s">
        <v>35</v>
      </c>
      <c r="F6" s="177"/>
      <c r="G6" s="2118"/>
      <c r="H6" s="2119"/>
      <c r="I6" s="2120"/>
    </row>
    <row r="7" spans="1:9" x14ac:dyDescent="0.2">
      <c r="A7" s="175" t="s">
        <v>36</v>
      </c>
      <c r="B7" s="1621"/>
      <c r="C7" s="177"/>
      <c r="D7" s="176"/>
      <c r="E7" s="1621" t="s">
        <v>37</v>
      </c>
      <c r="F7" s="177"/>
      <c r="G7" s="2118"/>
      <c r="H7" s="2119"/>
      <c r="I7" s="2120"/>
    </row>
    <row r="8" spans="1:9" ht="15.75" thickBot="1" x14ac:dyDescent="0.25">
      <c r="A8" s="178"/>
      <c r="B8" s="179"/>
      <c r="C8" s="179"/>
      <c r="D8" s="179"/>
      <c r="E8" s="179"/>
      <c r="F8" s="179"/>
      <c r="G8" s="179"/>
      <c r="H8" s="179"/>
      <c r="I8" s="180"/>
    </row>
    <row r="9" spans="1:9" ht="16.5" thickTop="1" thickBot="1" x14ac:dyDescent="0.25">
      <c r="A9" s="1633"/>
      <c r="B9" s="309"/>
      <c r="C9" s="309"/>
      <c r="D9" s="309"/>
      <c r="E9" s="309"/>
      <c r="F9" s="309"/>
      <c r="G9" s="309"/>
      <c r="H9" s="309"/>
      <c r="I9" s="1634"/>
    </row>
    <row r="10" spans="1:9" ht="15.75" thickTop="1" x14ac:dyDescent="0.2">
      <c r="A10" s="1579" t="s">
        <v>669</v>
      </c>
      <c r="B10" s="990"/>
      <c r="C10" s="310"/>
      <c r="D10" s="310"/>
      <c r="E10" s="310"/>
      <c r="F10" s="310"/>
      <c r="G10" s="840"/>
      <c r="H10" s="835"/>
      <c r="I10" s="831"/>
    </row>
    <row r="11" spans="1:9" ht="30" x14ac:dyDescent="0.2">
      <c r="A11" s="1635" t="s">
        <v>309</v>
      </c>
      <c r="B11" s="864" t="s">
        <v>4</v>
      </c>
      <c r="C11" s="1137" t="s">
        <v>38</v>
      </c>
      <c r="D11" s="828" t="s">
        <v>24</v>
      </c>
      <c r="E11" s="828" t="s">
        <v>39</v>
      </c>
      <c r="F11" s="829" t="s">
        <v>40</v>
      </c>
      <c r="G11" s="841" t="s">
        <v>8</v>
      </c>
      <c r="H11" s="828" t="s">
        <v>372</v>
      </c>
      <c r="I11" s="832" t="s">
        <v>41</v>
      </c>
    </row>
    <row r="12" spans="1:9" x14ac:dyDescent="0.2">
      <c r="A12" s="312"/>
      <c r="B12" s="995"/>
      <c r="C12" s="266"/>
      <c r="D12" s="267"/>
      <c r="E12" s="267"/>
      <c r="F12" s="267"/>
      <c r="G12" s="1667"/>
      <c r="H12" s="1658"/>
      <c r="I12" s="1659">
        <f t="shared" ref="I12:I22" si="0">G12*H12</f>
        <v>0</v>
      </c>
    </row>
    <row r="13" spans="1:9" x14ac:dyDescent="0.2">
      <c r="A13" s="186"/>
      <c r="B13" s="992"/>
      <c r="C13" s="187"/>
      <c r="D13" s="188"/>
      <c r="E13" s="188"/>
      <c r="F13" s="188"/>
      <c r="G13" s="1668"/>
      <c r="H13" s="1660"/>
      <c r="I13" s="1661">
        <f t="shared" si="0"/>
        <v>0</v>
      </c>
    </row>
    <row r="14" spans="1:9" x14ac:dyDescent="0.2">
      <c r="A14" s="189"/>
      <c r="B14" s="993"/>
      <c r="C14" s="187"/>
      <c r="D14" s="188"/>
      <c r="E14" s="188"/>
      <c r="F14" s="188"/>
      <c r="G14" s="1668"/>
      <c r="H14" s="1660"/>
      <c r="I14" s="1661">
        <f t="shared" si="0"/>
        <v>0</v>
      </c>
    </row>
    <row r="15" spans="1:9" x14ac:dyDescent="0.2">
      <c r="A15" s="189"/>
      <c r="B15" s="993"/>
      <c r="C15" s="187"/>
      <c r="D15" s="188"/>
      <c r="E15" s="188"/>
      <c r="F15" s="188"/>
      <c r="G15" s="1668"/>
      <c r="H15" s="1660"/>
      <c r="I15" s="1661">
        <f t="shared" si="0"/>
        <v>0</v>
      </c>
    </row>
    <row r="16" spans="1:9" x14ac:dyDescent="0.2">
      <c r="A16" s="189"/>
      <c r="B16" s="993"/>
      <c r="C16" s="187"/>
      <c r="D16" s="188"/>
      <c r="E16" s="188"/>
      <c r="F16" s="188"/>
      <c r="G16" s="1668"/>
      <c r="H16" s="1660"/>
      <c r="I16" s="1661">
        <f t="shared" si="0"/>
        <v>0</v>
      </c>
    </row>
    <row r="17" spans="1:9" x14ac:dyDescent="0.2">
      <c r="A17" s="189"/>
      <c r="B17" s="993"/>
      <c r="C17" s="187"/>
      <c r="D17" s="188"/>
      <c r="E17" s="188"/>
      <c r="F17" s="188"/>
      <c r="G17" s="1668"/>
      <c r="H17" s="1660"/>
      <c r="I17" s="1661">
        <f t="shared" si="0"/>
        <v>0</v>
      </c>
    </row>
    <row r="18" spans="1:9" x14ac:dyDescent="0.2">
      <c r="A18" s="189"/>
      <c r="B18" s="993"/>
      <c r="C18" s="187"/>
      <c r="D18" s="188"/>
      <c r="E18" s="188"/>
      <c r="F18" s="188"/>
      <c r="G18" s="1668"/>
      <c r="H18" s="1660"/>
      <c r="I18" s="1661">
        <f t="shared" si="0"/>
        <v>0</v>
      </c>
    </row>
    <row r="19" spans="1:9" x14ac:dyDescent="0.2">
      <c r="A19" s="189"/>
      <c r="B19" s="993"/>
      <c r="C19" s="187"/>
      <c r="D19" s="188"/>
      <c r="E19" s="188"/>
      <c r="F19" s="188"/>
      <c r="G19" s="1668"/>
      <c r="H19" s="1660"/>
      <c r="I19" s="1661">
        <f t="shared" si="0"/>
        <v>0</v>
      </c>
    </row>
    <row r="20" spans="1:9" x14ac:dyDescent="0.2">
      <c r="A20" s="189"/>
      <c r="B20" s="993"/>
      <c r="C20" s="187"/>
      <c r="D20" s="188"/>
      <c r="E20" s="188"/>
      <c r="F20" s="188"/>
      <c r="G20" s="1668"/>
      <c r="H20" s="1660"/>
      <c r="I20" s="1661">
        <f t="shared" si="0"/>
        <v>0</v>
      </c>
    </row>
    <row r="21" spans="1:9" x14ac:dyDescent="0.2">
      <c r="A21" s="189"/>
      <c r="B21" s="993"/>
      <c r="C21" s="187"/>
      <c r="D21" s="188"/>
      <c r="E21" s="188"/>
      <c r="F21" s="188"/>
      <c r="G21" s="1668"/>
      <c r="H21" s="1660"/>
      <c r="I21" s="1661">
        <f t="shared" si="0"/>
        <v>0</v>
      </c>
    </row>
    <row r="22" spans="1:9" ht="15.75" thickBot="1" x14ac:dyDescent="0.25">
      <c r="A22" s="190"/>
      <c r="B22" s="994"/>
      <c r="C22" s="191"/>
      <c r="D22" s="192"/>
      <c r="E22" s="192"/>
      <c r="F22" s="192"/>
      <c r="G22" s="1669"/>
      <c r="H22" s="1662"/>
      <c r="I22" s="1663">
        <f t="shared" si="0"/>
        <v>0</v>
      </c>
    </row>
    <row r="23" spans="1:9" x14ac:dyDescent="0.2">
      <c r="A23" s="193"/>
      <c r="B23" s="194"/>
      <c r="C23" s="194"/>
      <c r="D23" s="194"/>
      <c r="E23" s="194"/>
      <c r="F23" s="194"/>
      <c r="G23" s="838"/>
      <c r="H23" s="1664" t="s">
        <v>640</v>
      </c>
      <c r="I23" s="1564">
        <f>SUM(I12:I22)</f>
        <v>0</v>
      </c>
    </row>
    <row r="24" spans="1:9" ht="15.75" thickBot="1" x14ac:dyDescent="0.25">
      <c r="A24" s="313"/>
      <c r="B24" s="199"/>
      <c r="C24" s="199"/>
      <c r="D24" s="199"/>
      <c r="E24" s="199"/>
      <c r="F24" s="199"/>
      <c r="G24" s="842"/>
      <c r="H24" s="1665" t="s">
        <v>311</v>
      </c>
      <c r="I24" s="1666"/>
    </row>
    <row r="25" spans="1:9" ht="16.5" thickTop="1" thickBot="1" x14ac:dyDescent="0.25">
      <c r="A25" s="595"/>
      <c r="B25" s="2"/>
      <c r="C25" s="2"/>
      <c r="D25" s="2"/>
      <c r="E25" s="2"/>
      <c r="F25" s="2"/>
      <c r="G25" s="2"/>
      <c r="H25" s="2"/>
      <c r="I25" s="940"/>
    </row>
    <row r="26" spans="1:9" ht="15.75" thickTop="1" x14ac:dyDescent="0.2">
      <c r="A26" s="306" t="s">
        <v>670</v>
      </c>
      <c r="B26" s="990"/>
      <c r="C26" s="310"/>
      <c r="D26" s="310"/>
      <c r="E26" s="310"/>
      <c r="F26" s="310"/>
      <c r="G26" s="310"/>
      <c r="H26" s="310"/>
      <c r="I26" s="311"/>
    </row>
    <row r="27" spans="1:9" ht="30" x14ac:dyDescent="0.2">
      <c r="A27" s="1635" t="s">
        <v>309</v>
      </c>
      <c r="B27" s="864" t="s">
        <v>4</v>
      </c>
      <c r="C27" s="1137" t="s">
        <v>38</v>
      </c>
      <c r="D27" s="828" t="s">
        <v>24</v>
      </c>
      <c r="E27" s="828" t="s">
        <v>39</v>
      </c>
      <c r="F27" s="829" t="s">
        <v>40</v>
      </c>
      <c r="G27" s="828" t="s">
        <v>8</v>
      </c>
      <c r="H27" s="828" t="s">
        <v>372</v>
      </c>
      <c r="I27" s="830" t="s">
        <v>41</v>
      </c>
    </row>
    <row r="28" spans="1:9" x14ac:dyDescent="0.2">
      <c r="A28" s="183"/>
      <c r="B28" s="991"/>
      <c r="C28" s="184"/>
      <c r="D28" s="185"/>
      <c r="E28" s="185"/>
      <c r="F28" s="185"/>
      <c r="G28" s="1670"/>
      <c r="H28" s="1671"/>
      <c r="I28" s="1659">
        <f t="shared" ref="I28:I37" si="1">G28*H28</f>
        <v>0</v>
      </c>
    </row>
    <row r="29" spans="1:9" x14ac:dyDescent="0.2">
      <c r="A29" s="186"/>
      <c r="B29" s="992"/>
      <c r="C29" s="187"/>
      <c r="D29" s="188"/>
      <c r="E29" s="188"/>
      <c r="F29" s="188"/>
      <c r="G29" s="1668"/>
      <c r="H29" s="1660"/>
      <c r="I29" s="1661">
        <f t="shared" si="1"/>
        <v>0</v>
      </c>
    </row>
    <row r="30" spans="1:9" x14ac:dyDescent="0.2">
      <c r="A30" s="189"/>
      <c r="B30" s="993"/>
      <c r="C30" s="187"/>
      <c r="D30" s="188"/>
      <c r="E30" s="188"/>
      <c r="F30" s="188"/>
      <c r="G30" s="1668"/>
      <c r="H30" s="1660"/>
      <c r="I30" s="1661">
        <f t="shared" si="1"/>
        <v>0</v>
      </c>
    </row>
    <row r="31" spans="1:9" x14ac:dyDescent="0.2">
      <c r="A31" s="189"/>
      <c r="B31" s="993"/>
      <c r="C31" s="187"/>
      <c r="D31" s="188"/>
      <c r="E31" s="188"/>
      <c r="F31" s="188"/>
      <c r="G31" s="1668"/>
      <c r="H31" s="1660"/>
      <c r="I31" s="1661">
        <f t="shared" si="1"/>
        <v>0</v>
      </c>
    </row>
    <row r="32" spans="1:9" x14ac:dyDescent="0.2">
      <c r="A32" s="189"/>
      <c r="B32" s="993"/>
      <c r="C32" s="187"/>
      <c r="D32" s="188"/>
      <c r="E32" s="188"/>
      <c r="F32" s="188"/>
      <c r="G32" s="1668"/>
      <c r="H32" s="1660"/>
      <c r="I32" s="1661">
        <f t="shared" si="1"/>
        <v>0</v>
      </c>
    </row>
    <row r="33" spans="1:9" x14ac:dyDescent="0.2">
      <c r="A33" s="189"/>
      <c r="B33" s="993"/>
      <c r="C33" s="187"/>
      <c r="D33" s="188"/>
      <c r="E33" s="188"/>
      <c r="F33" s="188"/>
      <c r="G33" s="1668"/>
      <c r="H33" s="1660"/>
      <c r="I33" s="1661">
        <f t="shared" si="1"/>
        <v>0</v>
      </c>
    </row>
    <row r="34" spans="1:9" x14ac:dyDescent="0.2">
      <c r="A34" s="189"/>
      <c r="B34" s="993"/>
      <c r="C34" s="187"/>
      <c r="D34" s="188"/>
      <c r="E34" s="188"/>
      <c r="F34" s="188"/>
      <c r="G34" s="1668"/>
      <c r="H34" s="1660"/>
      <c r="I34" s="1661">
        <f t="shared" si="1"/>
        <v>0</v>
      </c>
    </row>
    <row r="35" spans="1:9" x14ac:dyDescent="0.2">
      <c r="A35" s="189"/>
      <c r="B35" s="993"/>
      <c r="C35" s="187"/>
      <c r="D35" s="188"/>
      <c r="E35" s="188"/>
      <c r="F35" s="188"/>
      <c r="G35" s="1668"/>
      <c r="H35" s="1660"/>
      <c r="I35" s="1661">
        <f t="shared" si="1"/>
        <v>0</v>
      </c>
    </row>
    <row r="36" spans="1:9" x14ac:dyDescent="0.2">
      <c r="A36" s="189"/>
      <c r="B36" s="993"/>
      <c r="C36" s="187"/>
      <c r="D36" s="188"/>
      <c r="E36" s="188"/>
      <c r="F36" s="188"/>
      <c r="G36" s="1668"/>
      <c r="H36" s="1672"/>
      <c r="I36" s="1661">
        <f t="shared" si="1"/>
        <v>0</v>
      </c>
    </row>
    <row r="37" spans="1:9" ht="15.75" thickBot="1" x14ac:dyDescent="0.25">
      <c r="A37" s="190"/>
      <c r="B37" s="994"/>
      <c r="C37" s="191"/>
      <c r="D37" s="192"/>
      <c r="E37" s="192"/>
      <c r="F37" s="192"/>
      <c r="G37" s="1669"/>
      <c r="H37" s="1673"/>
      <c r="I37" s="1663">
        <f t="shared" si="1"/>
        <v>0</v>
      </c>
    </row>
    <row r="38" spans="1:9" x14ac:dyDescent="0.2">
      <c r="A38" s="193"/>
      <c r="B38" s="194"/>
      <c r="C38" s="194"/>
      <c r="D38" s="194"/>
      <c r="E38" s="194"/>
      <c r="F38" s="194"/>
      <c r="G38" s="838"/>
      <c r="H38" s="1664" t="s">
        <v>641</v>
      </c>
      <c r="I38" s="1564">
        <f>SUM(I28:I37)</f>
        <v>0</v>
      </c>
    </row>
    <row r="39" spans="1:9" ht="15.75" thickBot="1" x14ac:dyDescent="0.25">
      <c r="A39" s="178"/>
      <c r="B39" s="179"/>
      <c r="C39" s="179"/>
      <c r="D39" s="179"/>
      <c r="E39" s="179"/>
      <c r="F39" s="179"/>
      <c r="G39" s="839"/>
      <c r="H39" s="1545" t="s">
        <v>311</v>
      </c>
      <c r="I39" s="1674"/>
    </row>
    <row r="40" spans="1:9" ht="16.5" thickTop="1" thickBot="1" x14ac:dyDescent="0.25">
      <c r="A40" s="1636"/>
      <c r="B40" s="314"/>
      <c r="C40" s="314"/>
      <c r="D40" s="314"/>
      <c r="E40" s="314"/>
      <c r="F40" s="314"/>
      <c r="G40" s="843"/>
      <c r="H40" s="836"/>
      <c r="I40" s="1637"/>
    </row>
    <row r="41" spans="1:9" ht="15.75" thickTop="1" x14ac:dyDescent="0.2">
      <c r="A41" s="306" t="s">
        <v>671</v>
      </c>
      <c r="B41" s="990"/>
      <c r="C41" s="310"/>
      <c r="D41" s="310"/>
      <c r="E41" s="310"/>
      <c r="F41" s="310"/>
      <c r="G41" s="840"/>
      <c r="H41" s="835"/>
      <c r="I41" s="831"/>
    </row>
    <row r="42" spans="1:9" ht="30" x14ac:dyDescent="0.2">
      <c r="A42" s="1635" t="s">
        <v>309</v>
      </c>
      <c r="B42" s="864" t="s">
        <v>4</v>
      </c>
      <c r="C42" s="1137" t="s">
        <v>38</v>
      </c>
      <c r="D42" s="828" t="s">
        <v>24</v>
      </c>
      <c r="E42" s="828" t="s">
        <v>39</v>
      </c>
      <c r="F42" s="829" t="s">
        <v>40</v>
      </c>
      <c r="G42" s="841" t="s">
        <v>8</v>
      </c>
      <c r="H42" s="828" t="s">
        <v>372</v>
      </c>
      <c r="I42" s="832" t="s">
        <v>41</v>
      </c>
    </row>
    <row r="43" spans="1:9" x14ac:dyDescent="0.2">
      <c r="A43" s="183"/>
      <c r="B43" s="991"/>
      <c r="C43" s="184"/>
      <c r="D43" s="185"/>
      <c r="E43" s="185"/>
      <c r="F43" s="185"/>
      <c r="G43" s="1670"/>
      <c r="H43" s="1671"/>
      <c r="I43" s="1659">
        <f t="shared" ref="I43:I52" si="2">G43*H43</f>
        <v>0</v>
      </c>
    </row>
    <row r="44" spans="1:9" x14ac:dyDescent="0.2">
      <c r="A44" s="186"/>
      <c r="B44" s="992"/>
      <c r="C44" s="187"/>
      <c r="D44" s="188"/>
      <c r="E44" s="188"/>
      <c r="F44" s="188"/>
      <c r="G44" s="1668"/>
      <c r="H44" s="1660"/>
      <c r="I44" s="1661">
        <f t="shared" si="2"/>
        <v>0</v>
      </c>
    </row>
    <row r="45" spans="1:9" x14ac:dyDescent="0.2">
      <c r="A45" s="189"/>
      <c r="B45" s="993"/>
      <c r="C45" s="187"/>
      <c r="D45" s="188"/>
      <c r="E45" s="188"/>
      <c r="F45" s="188"/>
      <c r="G45" s="1668"/>
      <c r="H45" s="1660"/>
      <c r="I45" s="1661">
        <f t="shared" si="2"/>
        <v>0</v>
      </c>
    </row>
    <row r="46" spans="1:9" x14ac:dyDescent="0.2">
      <c r="A46" s="189"/>
      <c r="B46" s="993"/>
      <c r="C46" s="187"/>
      <c r="D46" s="188"/>
      <c r="E46" s="188"/>
      <c r="F46" s="188"/>
      <c r="G46" s="1668"/>
      <c r="H46" s="1660"/>
      <c r="I46" s="1661">
        <f t="shared" si="2"/>
        <v>0</v>
      </c>
    </row>
    <row r="47" spans="1:9" x14ac:dyDescent="0.2">
      <c r="A47" s="189"/>
      <c r="B47" s="993"/>
      <c r="C47" s="187"/>
      <c r="D47" s="188"/>
      <c r="E47" s="188"/>
      <c r="F47" s="188"/>
      <c r="G47" s="1668"/>
      <c r="H47" s="1660"/>
      <c r="I47" s="1661">
        <f t="shared" si="2"/>
        <v>0</v>
      </c>
    </row>
    <row r="48" spans="1:9" x14ac:dyDescent="0.2">
      <c r="A48" s="189"/>
      <c r="B48" s="993"/>
      <c r="C48" s="187"/>
      <c r="D48" s="188"/>
      <c r="E48" s="188"/>
      <c r="F48" s="188"/>
      <c r="G48" s="1668"/>
      <c r="H48" s="1660"/>
      <c r="I48" s="1661">
        <f t="shared" si="2"/>
        <v>0</v>
      </c>
    </row>
    <row r="49" spans="1:9" x14ac:dyDescent="0.2">
      <c r="A49" s="189"/>
      <c r="B49" s="993"/>
      <c r="C49" s="187"/>
      <c r="D49" s="188"/>
      <c r="E49" s="188"/>
      <c r="F49" s="188"/>
      <c r="G49" s="1668"/>
      <c r="H49" s="1660"/>
      <c r="I49" s="1661">
        <f t="shared" si="2"/>
        <v>0</v>
      </c>
    </row>
    <row r="50" spans="1:9" x14ac:dyDescent="0.2">
      <c r="A50" s="189"/>
      <c r="B50" s="993"/>
      <c r="C50" s="187"/>
      <c r="D50" s="188"/>
      <c r="E50" s="188"/>
      <c r="F50" s="188"/>
      <c r="G50" s="1668"/>
      <c r="H50" s="1660"/>
      <c r="I50" s="1661">
        <f t="shared" si="2"/>
        <v>0</v>
      </c>
    </row>
    <row r="51" spans="1:9" x14ac:dyDescent="0.2">
      <c r="A51" s="189"/>
      <c r="B51" s="993"/>
      <c r="C51" s="187"/>
      <c r="D51" s="188"/>
      <c r="E51" s="188"/>
      <c r="F51" s="188"/>
      <c r="G51" s="1668"/>
      <c r="H51" s="1660"/>
      <c r="I51" s="1661">
        <f t="shared" si="2"/>
        <v>0</v>
      </c>
    </row>
    <row r="52" spans="1:9" ht="15.75" thickBot="1" x14ac:dyDescent="0.25">
      <c r="A52" s="190"/>
      <c r="B52" s="994"/>
      <c r="C52" s="191"/>
      <c r="D52" s="192"/>
      <c r="E52" s="192"/>
      <c r="F52" s="192"/>
      <c r="G52" s="1669"/>
      <c r="H52" s="1662"/>
      <c r="I52" s="1663">
        <f t="shared" si="2"/>
        <v>0</v>
      </c>
    </row>
    <row r="53" spans="1:9" x14ac:dyDescent="0.2">
      <c r="A53" s="193"/>
      <c r="B53" s="194"/>
      <c r="C53" s="194"/>
      <c r="D53" s="194"/>
      <c r="E53" s="194"/>
      <c r="F53" s="194"/>
      <c r="G53" s="838"/>
      <c r="H53" s="1664" t="s">
        <v>642</v>
      </c>
      <c r="I53" s="1564">
        <f>SUM(I43:I52)</f>
        <v>0</v>
      </c>
    </row>
    <row r="54" spans="1:9" x14ac:dyDescent="0.2">
      <c r="A54" s="195"/>
      <c r="B54" s="196"/>
      <c r="C54" s="196"/>
      <c r="D54" s="196"/>
      <c r="E54" s="196"/>
      <c r="F54" s="196"/>
      <c r="G54" s="844"/>
      <c r="H54" s="1545" t="s">
        <v>311</v>
      </c>
      <c r="I54" s="1675"/>
    </row>
    <row r="55" spans="1:9" x14ac:dyDescent="0.2">
      <c r="A55" s="181" t="s">
        <v>672</v>
      </c>
      <c r="B55" s="996"/>
      <c r="C55" s="182"/>
      <c r="D55" s="182"/>
      <c r="E55" s="182"/>
      <c r="F55" s="182"/>
      <c r="G55" s="845"/>
      <c r="H55" s="837"/>
      <c r="I55" s="833"/>
    </row>
    <row r="56" spans="1:9" ht="30" x14ac:dyDescent="0.2">
      <c r="A56" s="1635" t="s">
        <v>309</v>
      </c>
      <c r="B56" s="864" t="s">
        <v>4</v>
      </c>
      <c r="C56" s="1137" t="s">
        <v>38</v>
      </c>
      <c r="D56" s="828" t="s">
        <v>24</v>
      </c>
      <c r="E56" s="828" t="s">
        <v>39</v>
      </c>
      <c r="F56" s="829" t="s">
        <v>40</v>
      </c>
      <c r="G56" s="841" t="s">
        <v>8</v>
      </c>
      <c r="H56" s="828" t="s">
        <v>372</v>
      </c>
      <c r="I56" s="832" t="s">
        <v>41</v>
      </c>
    </row>
    <row r="57" spans="1:9" x14ac:dyDescent="0.2">
      <c r="A57" s="183"/>
      <c r="B57" s="991"/>
      <c r="C57" s="184"/>
      <c r="D57" s="185"/>
      <c r="E57" s="185"/>
      <c r="F57" s="185"/>
      <c r="G57" s="1670"/>
      <c r="H57" s="1671"/>
      <c r="I57" s="1659">
        <f t="shared" ref="I57:I66" si="3">G57*H57</f>
        <v>0</v>
      </c>
    </row>
    <row r="58" spans="1:9" x14ac:dyDescent="0.2">
      <c r="A58" s="186"/>
      <c r="B58" s="992"/>
      <c r="C58" s="187"/>
      <c r="D58" s="188"/>
      <c r="E58" s="188"/>
      <c r="F58" s="188"/>
      <c r="G58" s="1668"/>
      <c r="H58" s="1660"/>
      <c r="I58" s="1661">
        <f t="shared" si="3"/>
        <v>0</v>
      </c>
    </row>
    <row r="59" spans="1:9" x14ac:dyDescent="0.2">
      <c r="A59" s="189"/>
      <c r="B59" s="993"/>
      <c r="C59" s="187"/>
      <c r="D59" s="188"/>
      <c r="E59" s="188"/>
      <c r="F59" s="188"/>
      <c r="G59" s="1668"/>
      <c r="H59" s="1660"/>
      <c r="I59" s="1661">
        <f t="shared" si="3"/>
        <v>0</v>
      </c>
    </row>
    <row r="60" spans="1:9" x14ac:dyDescent="0.2">
      <c r="A60" s="189"/>
      <c r="B60" s="993"/>
      <c r="C60" s="187"/>
      <c r="D60" s="188"/>
      <c r="E60" s="188"/>
      <c r="F60" s="188"/>
      <c r="G60" s="1668"/>
      <c r="H60" s="1660"/>
      <c r="I60" s="1661">
        <f t="shared" si="3"/>
        <v>0</v>
      </c>
    </row>
    <row r="61" spans="1:9" x14ac:dyDescent="0.2">
      <c r="A61" s="189"/>
      <c r="B61" s="993"/>
      <c r="C61" s="187"/>
      <c r="D61" s="188"/>
      <c r="E61" s="188"/>
      <c r="F61" s="188"/>
      <c r="G61" s="1668"/>
      <c r="H61" s="1660"/>
      <c r="I61" s="1661">
        <f t="shared" si="3"/>
        <v>0</v>
      </c>
    </row>
    <row r="62" spans="1:9" x14ac:dyDescent="0.2">
      <c r="A62" s="189"/>
      <c r="B62" s="993"/>
      <c r="C62" s="187"/>
      <c r="D62" s="188"/>
      <c r="E62" s="188"/>
      <c r="F62" s="188"/>
      <c r="G62" s="1668"/>
      <c r="H62" s="1660"/>
      <c r="I62" s="1661">
        <f t="shared" si="3"/>
        <v>0</v>
      </c>
    </row>
    <row r="63" spans="1:9" x14ac:dyDescent="0.2">
      <c r="A63" s="189"/>
      <c r="B63" s="993"/>
      <c r="C63" s="187"/>
      <c r="D63" s="188"/>
      <c r="E63" s="188"/>
      <c r="F63" s="188"/>
      <c r="G63" s="1668"/>
      <c r="H63" s="1660"/>
      <c r="I63" s="1661">
        <f t="shared" si="3"/>
        <v>0</v>
      </c>
    </row>
    <row r="64" spans="1:9" x14ac:dyDescent="0.2">
      <c r="A64" s="189"/>
      <c r="B64" s="993"/>
      <c r="C64" s="187"/>
      <c r="D64" s="188"/>
      <c r="E64" s="188"/>
      <c r="F64" s="188"/>
      <c r="G64" s="1668"/>
      <c r="H64" s="1660"/>
      <c r="I64" s="1661">
        <f t="shared" si="3"/>
        <v>0</v>
      </c>
    </row>
    <row r="65" spans="1:9" x14ac:dyDescent="0.2">
      <c r="A65" s="189"/>
      <c r="B65" s="993"/>
      <c r="C65" s="187"/>
      <c r="D65" s="188"/>
      <c r="E65" s="188"/>
      <c r="F65" s="188"/>
      <c r="G65" s="1668"/>
      <c r="H65" s="1660"/>
      <c r="I65" s="1661">
        <f t="shared" si="3"/>
        <v>0</v>
      </c>
    </row>
    <row r="66" spans="1:9" ht="15.75" thickBot="1" x14ac:dyDescent="0.25">
      <c r="A66" s="190"/>
      <c r="B66" s="994"/>
      <c r="C66" s="191"/>
      <c r="D66" s="192"/>
      <c r="E66" s="192"/>
      <c r="F66" s="192"/>
      <c r="G66" s="1669"/>
      <c r="H66" s="1662"/>
      <c r="I66" s="1663">
        <f t="shared" si="3"/>
        <v>0</v>
      </c>
    </row>
    <row r="67" spans="1:9" x14ac:dyDescent="0.2">
      <c r="A67" s="193"/>
      <c r="B67" s="194"/>
      <c r="C67" s="194"/>
      <c r="D67" s="194"/>
      <c r="E67" s="194"/>
      <c r="F67" s="194"/>
      <c r="G67" s="194"/>
      <c r="H67" s="1664" t="s">
        <v>638</v>
      </c>
      <c r="I67" s="1564">
        <f>SUM(I57:I66)</f>
        <v>0</v>
      </c>
    </row>
    <row r="68" spans="1:9" ht="15.75" thickBot="1" x14ac:dyDescent="0.25">
      <c r="A68" s="175"/>
      <c r="B68" s="1621"/>
      <c r="C68" s="1621"/>
      <c r="D68" s="1621"/>
      <c r="E68" s="1621"/>
      <c r="F68" s="1621"/>
      <c r="G68" s="1621"/>
      <c r="H68" s="1545" t="s">
        <v>311</v>
      </c>
      <c r="I68" s="1675"/>
    </row>
    <row r="69" spans="1:9" x14ac:dyDescent="0.2">
      <c r="A69" s="468"/>
      <c r="B69" s="469"/>
      <c r="C69" s="469"/>
      <c r="D69" s="469"/>
      <c r="E69" s="469"/>
      <c r="F69" s="469"/>
      <c r="G69" s="470"/>
      <c r="H69" s="1676" t="s">
        <v>639</v>
      </c>
      <c r="I69" s="1677">
        <f>I38+I67+I53</f>
        <v>0</v>
      </c>
    </row>
    <row r="70" spans="1:9" ht="15.75" thickBot="1" x14ac:dyDescent="0.25">
      <c r="A70" s="471"/>
      <c r="B70" s="472"/>
      <c r="C70" s="472"/>
      <c r="D70" s="472"/>
      <c r="E70" s="472"/>
      <c r="F70" s="472"/>
      <c r="G70" s="472"/>
      <c r="H70" s="1678" t="s">
        <v>637</v>
      </c>
      <c r="I70" s="1679">
        <f>I23+I39+I54+I68</f>
        <v>0</v>
      </c>
    </row>
    <row r="71" spans="1:9" ht="15.75" thickTop="1" x14ac:dyDescent="0.2">
      <c r="I71" s="476"/>
    </row>
    <row r="72" spans="1:9" x14ac:dyDescent="0.2">
      <c r="I72" s="218"/>
    </row>
    <row r="73" spans="1:9" x14ac:dyDescent="0.2">
      <c r="I73" s="218"/>
    </row>
    <row r="74" spans="1:9" x14ac:dyDescent="0.2">
      <c r="I74" s="218"/>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C3:D3"/>
    <mergeCell ref="G5:I5"/>
    <mergeCell ref="G6:I6"/>
    <mergeCell ref="G7:I7"/>
  </mergeCells>
  <phoneticPr fontId="0" type="noConversion"/>
  <printOptions horizontalCentered="1"/>
  <pageMargins left="0.74803149606299213" right="0.74803149606299213" top="0.78740157480314965" bottom="0.78740157480314965" header="0.51181102362204722" footer="0.51181102362204722"/>
  <pageSetup paperSize="9" scale="60" orientation="portrait" horizontalDpi="4294967293" verticalDpi="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O92"/>
  <sheetViews>
    <sheetView zoomScale="65" zoomScaleNormal="65" zoomScaleSheetLayoutView="75" workbookViewId="0">
      <selection activeCell="J3" sqref="J3"/>
    </sheetView>
  </sheetViews>
  <sheetFormatPr defaultRowHeight="15" x14ac:dyDescent="0.2"/>
  <cols>
    <col min="1" max="1" width="4.77734375" customWidth="1"/>
    <col min="2" max="2" width="12.5546875" customWidth="1"/>
    <col min="3" max="3" width="14.21875" customWidth="1"/>
    <col min="4" max="4" width="10.88671875" customWidth="1"/>
    <col min="5" max="5" width="14.44140625" customWidth="1"/>
    <col min="6" max="6" width="15.33203125" customWidth="1"/>
    <col min="7" max="7" width="13" customWidth="1"/>
    <col min="8" max="8" width="8.6640625" customWidth="1"/>
    <col min="9" max="9" width="8.21875" customWidth="1"/>
    <col min="10" max="10" width="9.109375" customWidth="1"/>
    <col min="11" max="11" width="14.109375" customWidth="1"/>
    <col min="12" max="12" width="7.77734375" customWidth="1"/>
    <col min="13" max="13" width="6.77734375" customWidth="1"/>
    <col min="14" max="14" width="8.33203125" customWidth="1"/>
    <col min="15" max="15" width="13.33203125" customWidth="1"/>
  </cols>
  <sheetData>
    <row r="1" spans="1:15" ht="20.25" customHeight="1" thickTop="1" x14ac:dyDescent="0.2">
      <c r="A1" s="1581" t="s">
        <v>479</v>
      </c>
      <c r="B1" s="989"/>
      <c r="C1" s="219"/>
      <c r="D1" s="219"/>
      <c r="E1" s="219"/>
      <c r="F1" s="168"/>
      <c r="G1" s="1446" t="s">
        <v>643</v>
      </c>
      <c r="H1" s="219"/>
      <c r="I1" s="219"/>
      <c r="J1" s="219"/>
      <c r="K1" s="219"/>
      <c r="L1" s="1447"/>
      <c r="M1" s="1447"/>
      <c r="N1" s="1447"/>
      <c r="O1" s="1448"/>
    </row>
    <row r="2" spans="1:15" ht="15.75" x14ac:dyDescent="0.2">
      <c r="A2" s="1449" t="s">
        <v>189</v>
      </c>
      <c r="B2" s="1450"/>
      <c r="C2" s="1147"/>
      <c r="D2" s="1147"/>
      <c r="E2" s="1147"/>
      <c r="F2" s="1451" t="s">
        <v>194</v>
      </c>
      <c r="G2" s="1451"/>
      <c r="H2" s="1147"/>
      <c r="I2" s="1147"/>
      <c r="J2" s="1147"/>
      <c r="K2" s="1147"/>
      <c r="L2" s="2"/>
      <c r="M2" s="2"/>
      <c r="N2" s="2"/>
      <c r="O2" s="940"/>
    </row>
    <row r="3" spans="1:15" ht="16.5" thickBot="1" x14ac:dyDescent="0.25">
      <c r="A3" s="2121" t="s">
        <v>309</v>
      </c>
      <c r="B3" s="2122"/>
      <c r="C3" s="2122"/>
      <c r="D3" s="1641">
        <f>'Input Data'!$D$29</f>
        <v>0</v>
      </c>
      <c r="E3" s="1452"/>
      <c r="F3" s="247"/>
      <c r="G3" s="247"/>
      <c r="H3" s="2123" t="s">
        <v>252</v>
      </c>
      <c r="I3" s="2124"/>
      <c r="J3" s="1026">
        <f>'Input Data'!$D$6</f>
        <v>0</v>
      </c>
      <c r="K3" s="139"/>
      <c r="L3" s="297"/>
      <c r="M3" s="297"/>
      <c r="N3" s="297"/>
      <c r="O3" s="1453"/>
    </row>
    <row r="4" spans="1:15" ht="16.5" thickTop="1" x14ac:dyDescent="0.2">
      <c r="A4" s="1454" t="s">
        <v>110</v>
      </c>
      <c r="B4" s="998"/>
      <c r="C4" s="126"/>
      <c r="D4" s="126"/>
      <c r="E4" s="126"/>
      <c r="F4" s="126"/>
      <c r="G4" s="126"/>
      <c r="H4" s="126"/>
      <c r="I4" s="126"/>
      <c r="J4" s="1455"/>
      <c r="K4" s="1456"/>
      <c r="L4" s="2"/>
      <c r="M4" s="2"/>
      <c r="N4" s="2"/>
      <c r="O4" s="940"/>
    </row>
    <row r="5" spans="1:15" ht="15.75" x14ac:dyDescent="0.2">
      <c r="A5" s="263" t="s">
        <v>607</v>
      </c>
      <c r="B5" s="1457"/>
      <c r="C5" s="1147"/>
      <c r="D5" s="1147"/>
      <c r="E5" s="1147"/>
      <c r="F5" s="1147"/>
      <c r="G5" s="1147"/>
      <c r="H5" s="1147"/>
      <c r="I5" s="1147"/>
      <c r="J5" s="1148"/>
      <c r="K5" s="561"/>
      <c r="L5" s="1458"/>
      <c r="M5" s="1458"/>
      <c r="N5" s="1458"/>
      <c r="O5" s="1459"/>
    </row>
    <row r="6" spans="1:15" ht="45" x14ac:dyDescent="0.2">
      <c r="A6" s="849" t="s">
        <v>480</v>
      </c>
      <c r="B6" s="863" t="s">
        <v>4</v>
      </c>
      <c r="C6" s="850" t="s">
        <v>38</v>
      </c>
      <c r="D6" s="2125" t="s">
        <v>24</v>
      </c>
      <c r="E6" s="2126"/>
      <c r="F6" s="850" t="s">
        <v>42</v>
      </c>
      <c r="G6" s="850" t="s">
        <v>43</v>
      </c>
      <c r="H6" s="850" t="s">
        <v>49</v>
      </c>
      <c r="I6" s="2127" t="s">
        <v>40</v>
      </c>
      <c r="J6" s="2128"/>
      <c r="K6" s="2128"/>
      <c r="L6" s="850" t="s">
        <v>44</v>
      </c>
      <c r="M6" s="850" t="s">
        <v>608</v>
      </c>
      <c r="N6" s="850" t="s">
        <v>372</v>
      </c>
      <c r="O6" s="851" t="s">
        <v>41</v>
      </c>
    </row>
    <row r="7" spans="1:15" x14ac:dyDescent="0.2">
      <c r="A7" s="1550">
        <v>1</v>
      </c>
      <c r="B7" s="1460"/>
      <c r="C7" s="241"/>
      <c r="D7" s="248"/>
      <c r="E7" s="249"/>
      <c r="F7" s="241"/>
      <c r="G7" s="241"/>
      <c r="H7" s="241"/>
      <c r="I7" s="248"/>
      <c r="J7" s="250"/>
      <c r="K7" s="249"/>
      <c r="L7" s="241"/>
      <c r="M7" s="1719">
        <f>IF('Input Data'!$H$50&lt;'Input Data'!$H$38,L7,L7-2)</f>
        <v>0</v>
      </c>
      <c r="N7" s="1461"/>
      <c r="O7" s="1551">
        <f t="shared" ref="O7:O16" si="0">M7*N7</f>
        <v>0</v>
      </c>
    </row>
    <row r="8" spans="1:15" x14ac:dyDescent="0.2">
      <c r="A8" s="1552"/>
      <c r="B8" s="1462"/>
      <c r="C8" s="240"/>
      <c r="D8" s="1149"/>
      <c r="E8" s="1150"/>
      <c r="F8" s="240"/>
      <c r="G8" s="240"/>
      <c r="H8" s="240"/>
      <c r="I8" s="1149"/>
      <c r="J8" s="1155"/>
      <c r="K8" s="1150"/>
      <c r="L8" s="240"/>
      <c r="M8" s="1719">
        <f>IF('Input Data'!$H$50&lt;'Input Data'!$H$38,L8,L8-2)</f>
        <v>0</v>
      </c>
      <c r="N8" s="846"/>
      <c r="O8" s="1553">
        <f t="shared" si="0"/>
        <v>0</v>
      </c>
    </row>
    <row r="9" spans="1:15" x14ac:dyDescent="0.2">
      <c r="A9" s="1552"/>
      <c r="B9" s="1462"/>
      <c r="C9" s="240"/>
      <c r="D9" s="1149"/>
      <c r="E9" s="1150"/>
      <c r="F9" s="240"/>
      <c r="G9" s="240"/>
      <c r="H9" s="240"/>
      <c r="I9" s="1149"/>
      <c r="J9" s="1155"/>
      <c r="K9" s="1150"/>
      <c r="L9" s="240"/>
      <c r="M9" s="1719">
        <f>IF('Input Data'!$H$50&lt;'Input Data'!$H$38,L9,L9-2)</f>
        <v>0</v>
      </c>
      <c r="N9" s="846"/>
      <c r="O9" s="1553">
        <f t="shared" si="0"/>
        <v>0</v>
      </c>
    </row>
    <row r="10" spans="1:15" x14ac:dyDescent="0.2">
      <c r="A10" s="1552"/>
      <c r="B10" s="1462"/>
      <c r="C10" s="240"/>
      <c r="D10" s="1149"/>
      <c r="E10" s="1150"/>
      <c r="F10" s="240"/>
      <c r="G10" s="240"/>
      <c r="H10" s="240"/>
      <c r="I10" s="1149"/>
      <c r="J10" s="1155"/>
      <c r="K10" s="1150"/>
      <c r="L10" s="240"/>
      <c r="M10" s="1719">
        <f>IF('Input Data'!$H$50&lt;'Input Data'!$H$38,L10,L10-2)</f>
        <v>0</v>
      </c>
      <c r="N10" s="846"/>
      <c r="O10" s="1553">
        <f t="shared" si="0"/>
        <v>0</v>
      </c>
    </row>
    <row r="11" spans="1:15" x14ac:dyDescent="0.2">
      <c r="A11" s="1552"/>
      <c r="B11" s="1462"/>
      <c r="C11" s="240"/>
      <c r="D11" s="1149"/>
      <c r="E11" s="1150"/>
      <c r="F11" s="240"/>
      <c r="G11" s="240"/>
      <c r="H11" s="240"/>
      <c r="I11" s="1149"/>
      <c r="J11" s="1155"/>
      <c r="K11" s="1150"/>
      <c r="L11" s="240"/>
      <c r="M11" s="1719">
        <f>IF('Input Data'!$H$50&lt;'Input Data'!$H$38,L11,L11-2)</f>
        <v>0</v>
      </c>
      <c r="N11" s="846"/>
      <c r="O11" s="1553">
        <f t="shared" si="0"/>
        <v>0</v>
      </c>
    </row>
    <row r="12" spans="1:15" x14ac:dyDescent="0.2">
      <c r="A12" s="1552"/>
      <c r="B12" s="1462"/>
      <c r="C12" s="240"/>
      <c r="D12" s="1149"/>
      <c r="E12" s="1150"/>
      <c r="F12" s="240"/>
      <c r="G12" s="240"/>
      <c r="H12" s="240"/>
      <c r="I12" s="1149"/>
      <c r="J12" s="1155"/>
      <c r="K12" s="1150"/>
      <c r="L12" s="240"/>
      <c r="M12" s="1719">
        <f>IF('Input Data'!$H$50&lt;'Input Data'!$H$38,L12,L12-2)</f>
        <v>0</v>
      </c>
      <c r="N12" s="846"/>
      <c r="O12" s="1553">
        <f t="shared" si="0"/>
        <v>0</v>
      </c>
    </row>
    <row r="13" spans="1:15" x14ac:dyDescent="0.2">
      <c r="A13" s="1552"/>
      <c r="B13" s="1462"/>
      <c r="C13" s="240"/>
      <c r="D13" s="1149"/>
      <c r="E13" s="1150"/>
      <c r="F13" s="240"/>
      <c r="G13" s="240"/>
      <c r="H13" s="240"/>
      <c r="I13" s="1149"/>
      <c r="J13" s="1155"/>
      <c r="K13" s="1150"/>
      <c r="L13" s="240"/>
      <c r="M13" s="1719">
        <f>IF('Input Data'!$H$50&lt;'Input Data'!$H$38,L13,L13-2)</f>
        <v>0</v>
      </c>
      <c r="N13" s="846"/>
      <c r="O13" s="1553">
        <f t="shared" si="0"/>
        <v>0</v>
      </c>
    </row>
    <row r="14" spans="1:15" x14ac:dyDescent="0.2">
      <c r="A14" s="1552"/>
      <c r="B14" s="1462"/>
      <c r="C14" s="240"/>
      <c r="D14" s="1149"/>
      <c r="E14" s="1150"/>
      <c r="F14" s="240"/>
      <c r="G14" s="240"/>
      <c r="H14" s="240"/>
      <c r="I14" s="1149"/>
      <c r="J14" s="1155"/>
      <c r="K14" s="1150"/>
      <c r="L14" s="240"/>
      <c r="M14" s="1719">
        <f>IF('Input Data'!$H$50&lt;'Input Data'!$H$38,L14,L14-2)</f>
        <v>0</v>
      </c>
      <c r="N14" s="846"/>
      <c r="O14" s="1553">
        <f t="shared" si="0"/>
        <v>0</v>
      </c>
    </row>
    <row r="15" spans="1:15" x14ac:dyDescent="0.2">
      <c r="A15" s="1552"/>
      <c r="B15" s="1462"/>
      <c r="C15" s="240"/>
      <c r="D15" s="1149"/>
      <c r="E15" s="1150"/>
      <c r="F15" s="240"/>
      <c r="G15" s="240"/>
      <c r="H15" s="240"/>
      <c r="I15" s="1149"/>
      <c r="J15" s="1155"/>
      <c r="K15" s="1150"/>
      <c r="L15" s="240"/>
      <c r="M15" s="1719">
        <f>IF('Input Data'!$H$50&lt;'Input Data'!$H$38,L15,L15-2)</f>
        <v>0</v>
      </c>
      <c r="N15" s="846"/>
      <c r="O15" s="1553">
        <f t="shared" si="0"/>
        <v>0</v>
      </c>
    </row>
    <row r="16" spans="1:15" ht="15.75" thickBot="1" x14ac:dyDescent="0.25">
      <c r="A16" s="1554"/>
      <c r="B16" s="1463"/>
      <c r="C16" s="1012"/>
      <c r="D16" s="1464"/>
      <c r="E16" s="1015"/>
      <c r="F16" s="1012"/>
      <c r="G16" s="1012"/>
      <c r="H16" s="1012"/>
      <c r="I16" s="1464"/>
      <c r="J16" s="1465"/>
      <c r="K16" s="1015"/>
      <c r="L16" s="1012"/>
      <c r="M16" s="1719">
        <f>IF('Input Data'!$H$50&lt;'Input Data'!$H$38,L16,L16-2)</f>
        <v>0</v>
      </c>
      <c r="N16" s="1466"/>
      <c r="O16" s="1555">
        <f t="shared" si="0"/>
        <v>0</v>
      </c>
    </row>
    <row r="17" spans="1:15" ht="15.75" thickBot="1" x14ac:dyDescent="0.25">
      <c r="A17" s="1467"/>
      <c r="B17" s="473"/>
      <c r="C17" s="473"/>
      <c r="D17" s="473"/>
      <c r="E17" s="473"/>
      <c r="F17" s="473"/>
      <c r="G17" s="473"/>
      <c r="H17" s="472"/>
      <c r="I17" s="472"/>
      <c r="J17" s="472"/>
      <c r="K17" s="472"/>
      <c r="L17" s="473"/>
      <c r="M17" s="473"/>
      <c r="N17" s="1468" t="s">
        <v>644</v>
      </c>
      <c r="O17" s="1556">
        <f>SUM(O7:O16)</f>
        <v>0</v>
      </c>
    </row>
    <row r="18" spans="1:15" ht="16.5" thickTop="1" thickBot="1" x14ac:dyDescent="0.25">
      <c r="A18" s="232"/>
      <c r="B18" s="233"/>
      <c r="C18" s="233"/>
      <c r="D18" s="233"/>
      <c r="E18" s="233"/>
      <c r="F18" s="233"/>
      <c r="G18" s="233"/>
      <c r="L18" s="233"/>
      <c r="M18" s="233"/>
      <c r="N18" s="834" t="s">
        <v>311</v>
      </c>
      <c r="O18" s="1557"/>
    </row>
    <row r="19" spans="1:15" ht="15.75" thickBot="1" x14ac:dyDescent="0.25">
      <c r="A19" s="1469" t="s">
        <v>635</v>
      </c>
      <c r="B19" s="139"/>
      <c r="C19" s="139"/>
      <c r="D19" s="139"/>
      <c r="E19" s="139"/>
      <c r="F19" s="139"/>
      <c r="G19" s="139"/>
      <c r="H19" s="139"/>
      <c r="I19" s="139"/>
      <c r="J19" s="1470"/>
      <c r="K19" s="1471"/>
    </row>
    <row r="20" spans="1:15" ht="15.75" thickTop="1" x14ac:dyDescent="0.2">
      <c r="A20" s="1472"/>
      <c r="B20" s="2129" t="s">
        <v>609</v>
      </c>
      <c r="C20" s="2130"/>
      <c r="D20" s="2130"/>
      <c r="E20" s="2130"/>
      <c r="F20" s="2130"/>
      <c r="G20" s="2129" t="s">
        <v>610</v>
      </c>
      <c r="H20" s="2129"/>
      <c r="I20" s="2129"/>
      <c r="J20" s="2129"/>
      <c r="K20" s="2129"/>
      <c r="L20" s="2143" t="s">
        <v>611</v>
      </c>
      <c r="M20" s="1473"/>
      <c r="N20" s="1473"/>
      <c r="O20" s="1474"/>
    </row>
    <row r="21" spans="1:15" x14ac:dyDescent="0.2">
      <c r="A21" s="2131" t="s">
        <v>612</v>
      </c>
      <c r="B21" s="1475"/>
      <c r="C21" s="1475"/>
      <c r="D21" s="2112" t="s">
        <v>613</v>
      </c>
      <c r="E21" s="2112" t="s">
        <v>614</v>
      </c>
      <c r="F21" s="2112" t="s">
        <v>615</v>
      </c>
      <c r="G21" s="2112" t="s">
        <v>616</v>
      </c>
      <c r="H21" s="2112" t="s">
        <v>501</v>
      </c>
      <c r="I21" s="2112" t="s">
        <v>613</v>
      </c>
      <c r="J21" s="2112" t="s">
        <v>614</v>
      </c>
      <c r="K21" s="2112" t="s">
        <v>615</v>
      </c>
      <c r="L21" s="2144"/>
      <c r="M21" s="2135" t="s">
        <v>608</v>
      </c>
      <c r="N21" s="2135" t="s">
        <v>372</v>
      </c>
      <c r="O21" s="2137" t="s">
        <v>41</v>
      </c>
    </row>
    <row r="22" spans="1:15" ht="26.25" customHeight="1" x14ac:dyDescent="0.2">
      <c r="A22" s="2132"/>
      <c r="B22" s="1476" t="s">
        <v>616</v>
      </c>
      <c r="C22" s="1476" t="s">
        <v>501</v>
      </c>
      <c r="D22" s="2133"/>
      <c r="E22" s="2133"/>
      <c r="F22" s="2133"/>
      <c r="G22" s="2134"/>
      <c r="H22" s="2134"/>
      <c r="I22" s="2133"/>
      <c r="J22" s="2133"/>
      <c r="K22" s="2133"/>
      <c r="L22" s="2136"/>
      <c r="M22" s="2136"/>
      <c r="N22" s="2136"/>
      <c r="O22" s="2138"/>
    </row>
    <row r="23" spans="1:15" x14ac:dyDescent="0.2">
      <c r="A23" s="1477">
        <v>1</v>
      </c>
      <c r="B23" s="1478">
        <v>41188.25</v>
      </c>
      <c r="C23" s="1479" t="s">
        <v>617</v>
      </c>
      <c r="D23" s="1480" t="s">
        <v>618</v>
      </c>
      <c r="E23" s="1480" t="s">
        <v>619</v>
      </c>
      <c r="F23" s="1481">
        <v>41188.489583333336</v>
      </c>
      <c r="G23" s="1478">
        <v>41189.666666666664</v>
      </c>
      <c r="H23" s="1479" t="s">
        <v>619</v>
      </c>
      <c r="I23" s="1480" t="s">
        <v>620</v>
      </c>
      <c r="J23" s="1482" t="s">
        <v>617</v>
      </c>
      <c r="K23" s="1481">
        <v>41189.885416666664</v>
      </c>
      <c r="L23" s="1483">
        <f>((F23-B23)*24)+((K23-G23)*24)</f>
        <v>11.000000000058208</v>
      </c>
      <c r="M23" s="1716">
        <f>IF('Input Data'!$H$50&lt;'Input Data'!$H$38,L23,L23-2)</f>
        <v>11.000000000058208</v>
      </c>
      <c r="N23" s="1484"/>
      <c r="O23" s="1558">
        <f t="shared" ref="O23:O32" si="1">M23*N23</f>
        <v>0</v>
      </c>
    </row>
    <row r="24" spans="1:15" x14ac:dyDescent="0.2">
      <c r="A24" s="1485"/>
      <c r="B24" s="1486"/>
      <c r="C24" s="1487"/>
      <c r="D24" s="1488"/>
      <c r="E24" s="1489"/>
      <c r="F24" s="1490"/>
      <c r="G24" s="1486"/>
      <c r="H24" s="1491"/>
      <c r="I24" s="1489"/>
      <c r="J24" s="1491"/>
      <c r="K24" s="1490"/>
      <c r="L24" s="1492">
        <f t="shared" ref="L24:L32" si="2">((F24-B24)*24)+((K24-G24)*24)</f>
        <v>0</v>
      </c>
      <c r="M24" s="1717">
        <f>IF('Input Data'!$H$50&lt;'Input Data'!$H$38,L24,L24-2)</f>
        <v>0</v>
      </c>
      <c r="N24" s="1493"/>
      <c r="O24" s="1559">
        <f t="shared" si="1"/>
        <v>0</v>
      </c>
    </row>
    <row r="25" spans="1:15" x14ac:dyDescent="0.2">
      <c r="A25" s="1485"/>
      <c r="B25" s="1486"/>
      <c r="C25" s="1489"/>
      <c r="D25" s="1487"/>
      <c r="E25" s="1488"/>
      <c r="F25" s="1490"/>
      <c r="G25" s="1486"/>
      <c r="H25" s="1489"/>
      <c r="I25" s="1489"/>
      <c r="J25" s="1488"/>
      <c r="K25" s="1490"/>
      <c r="L25" s="1492">
        <f t="shared" si="2"/>
        <v>0</v>
      </c>
      <c r="M25" s="1717">
        <f>IF('Input Data'!$H$50&lt;'Input Data'!$H$38,L25,L25-2)</f>
        <v>0</v>
      </c>
      <c r="N25" s="1493"/>
      <c r="O25" s="1559">
        <f t="shared" si="1"/>
        <v>0</v>
      </c>
    </row>
    <row r="26" spans="1:15" x14ac:dyDescent="0.2">
      <c r="A26" s="1485"/>
      <c r="B26" s="1486"/>
      <c r="C26" s="1489"/>
      <c r="D26" s="1487"/>
      <c r="E26" s="1488"/>
      <c r="F26" s="1490"/>
      <c r="G26" s="1486"/>
      <c r="H26" s="1489"/>
      <c r="I26" s="1489"/>
      <c r="J26" s="1488"/>
      <c r="K26" s="1490"/>
      <c r="L26" s="1492">
        <f t="shared" si="2"/>
        <v>0</v>
      </c>
      <c r="M26" s="1717">
        <f>IF('Input Data'!$H$50&lt;'Input Data'!$H$38,L26,L26-2)</f>
        <v>0</v>
      </c>
      <c r="N26" s="1493"/>
      <c r="O26" s="1559">
        <f t="shared" si="1"/>
        <v>0</v>
      </c>
    </row>
    <row r="27" spans="1:15" x14ac:dyDescent="0.2">
      <c r="A27" s="1485"/>
      <c r="B27" s="1486"/>
      <c r="C27" s="1489"/>
      <c r="D27" s="1487"/>
      <c r="E27" s="1488"/>
      <c r="F27" s="1490"/>
      <c r="G27" s="1486"/>
      <c r="H27" s="1489"/>
      <c r="I27" s="1489"/>
      <c r="J27" s="1488"/>
      <c r="K27" s="1490"/>
      <c r="L27" s="1492">
        <f t="shared" si="2"/>
        <v>0</v>
      </c>
      <c r="M27" s="1717">
        <f>IF('Input Data'!$H$50&lt;'Input Data'!$H$38,L27,L27-2)</f>
        <v>0</v>
      </c>
      <c r="N27" s="1493"/>
      <c r="O27" s="1559">
        <f t="shared" si="1"/>
        <v>0</v>
      </c>
    </row>
    <row r="28" spans="1:15" ht="15.75" customHeight="1" x14ac:dyDescent="0.2">
      <c r="A28" s="1485"/>
      <c r="B28" s="1486"/>
      <c r="C28" s="1489"/>
      <c r="D28" s="1487"/>
      <c r="E28" s="1488"/>
      <c r="F28" s="1490"/>
      <c r="G28" s="1486"/>
      <c r="H28" s="1489"/>
      <c r="I28" s="1489"/>
      <c r="J28" s="1488"/>
      <c r="K28" s="1490"/>
      <c r="L28" s="1492">
        <f t="shared" si="2"/>
        <v>0</v>
      </c>
      <c r="M28" s="1717">
        <f>IF('Input Data'!$H$50&lt;'Input Data'!$H$38,L28,L28-2)</f>
        <v>0</v>
      </c>
      <c r="N28" s="1493"/>
      <c r="O28" s="1559">
        <f t="shared" si="1"/>
        <v>0</v>
      </c>
    </row>
    <row r="29" spans="1:15" x14ac:dyDescent="0.2">
      <c r="A29" s="1485"/>
      <c r="B29" s="1486"/>
      <c r="C29" s="1489"/>
      <c r="D29" s="1487"/>
      <c r="E29" s="1488"/>
      <c r="F29" s="1490"/>
      <c r="G29" s="1486"/>
      <c r="H29" s="1494"/>
      <c r="I29" s="1495"/>
      <c r="J29" s="1488"/>
      <c r="K29" s="1490"/>
      <c r="L29" s="1492">
        <f t="shared" si="2"/>
        <v>0</v>
      </c>
      <c r="M29" s="1717">
        <f>IF('Input Data'!$H$50&lt;'Input Data'!$H$38,L29,L29-2)</f>
        <v>0</v>
      </c>
      <c r="N29" s="1493"/>
      <c r="O29" s="1559">
        <f t="shared" si="1"/>
        <v>0</v>
      </c>
    </row>
    <row r="30" spans="1:15" x14ac:dyDescent="0.2">
      <c r="A30" s="1485"/>
      <c r="B30" s="1486"/>
      <c r="C30" s="1489"/>
      <c r="D30" s="1487"/>
      <c r="E30" s="1488"/>
      <c r="F30" s="1490"/>
      <c r="G30" s="1486"/>
      <c r="H30" s="1496"/>
      <c r="I30" s="1489"/>
      <c r="J30" s="1494"/>
      <c r="K30" s="1490"/>
      <c r="L30" s="1492">
        <f t="shared" si="2"/>
        <v>0</v>
      </c>
      <c r="M30" s="1717">
        <f>IF('Input Data'!$H$50&lt;'Input Data'!$H$38,L30,L30-2)</f>
        <v>0</v>
      </c>
      <c r="N30" s="1493"/>
      <c r="O30" s="1559">
        <f t="shared" si="1"/>
        <v>0</v>
      </c>
    </row>
    <row r="31" spans="1:15" x14ac:dyDescent="0.2">
      <c r="A31" s="1485"/>
      <c r="B31" s="1486"/>
      <c r="C31" s="1489"/>
      <c r="D31" s="1487"/>
      <c r="E31" s="1488"/>
      <c r="F31" s="1490"/>
      <c r="G31" s="1486"/>
      <c r="H31" s="1496"/>
      <c r="I31" s="1489"/>
      <c r="J31" s="1494"/>
      <c r="K31" s="1490"/>
      <c r="L31" s="1492">
        <f t="shared" si="2"/>
        <v>0</v>
      </c>
      <c r="M31" s="1717">
        <f>IF('Input Data'!$H$50&lt;'Input Data'!$H$38,L31,L31-2)</f>
        <v>0</v>
      </c>
      <c r="N31" s="1493"/>
      <c r="O31" s="1559">
        <f t="shared" si="1"/>
        <v>0</v>
      </c>
    </row>
    <row r="32" spans="1:15" ht="15.75" thickBot="1" x14ac:dyDescent="0.25">
      <c r="A32" s="1560"/>
      <c r="B32" s="1497"/>
      <c r="C32" s="1498"/>
      <c r="D32" s="1498"/>
      <c r="E32" s="1498"/>
      <c r="F32" s="1499"/>
      <c r="G32" s="1497"/>
      <c r="H32" s="1498"/>
      <c r="I32" s="1500"/>
      <c r="J32" s="1498"/>
      <c r="K32" s="1499"/>
      <c r="L32" s="1501">
        <f t="shared" si="2"/>
        <v>0</v>
      </c>
      <c r="M32" s="1718">
        <f>IF('Input Data'!$H$50&lt;'Input Data'!$H$38,L32,L32-2)</f>
        <v>0</v>
      </c>
      <c r="N32" s="1502"/>
      <c r="O32" s="1561">
        <f t="shared" si="1"/>
        <v>0</v>
      </c>
    </row>
    <row r="33" spans="1:15" ht="15.75" thickBot="1" x14ac:dyDescent="0.25">
      <c r="A33" s="1151"/>
      <c r="B33" s="1152"/>
      <c r="C33" s="1152"/>
      <c r="D33" s="1152"/>
      <c r="E33" s="1152"/>
      <c r="F33" s="1152"/>
      <c r="G33" s="1152"/>
      <c r="H33" s="1152"/>
      <c r="I33" s="1152"/>
      <c r="J33" s="297"/>
      <c r="K33" s="297"/>
      <c r="L33" s="297"/>
      <c r="M33" s="297"/>
      <c r="N33" s="1503" t="s">
        <v>645</v>
      </c>
      <c r="O33" s="1562">
        <f>SUM(O23:O32)</f>
        <v>0</v>
      </c>
    </row>
    <row r="34" spans="1:15" ht="16.5" thickTop="1" thickBot="1" x14ac:dyDescent="0.25">
      <c r="A34" s="232"/>
      <c r="B34" s="233"/>
      <c r="C34" s="233"/>
      <c r="D34" s="233"/>
      <c r="E34" s="233"/>
      <c r="F34" s="233"/>
      <c r="G34" s="233"/>
      <c r="H34" s="233"/>
      <c r="I34" s="233"/>
      <c r="L34" s="1447"/>
      <c r="M34" s="1447"/>
      <c r="N34" s="1504" t="s">
        <v>311</v>
      </c>
      <c r="O34" s="1586"/>
    </row>
    <row r="35" spans="1:15" ht="15.75" thickBot="1" x14ac:dyDescent="0.25">
      <c r="A35" s="225"/>
      <c r="B35" s="229"/>
      <c r="C35" s="229"/>
      <c r="D35" s="229"/>
      <c r="E35" s="229"/>
      <c r="F35" s="229"/>
      <c r="G35" s="229"/>
      <c r="H35" s="229"/>
      <c r="I35" s="229"/>
      <c r="L35" s="2"/>
      <c r="M35" s="2"/>
      <c r="N35" s="834" t="s">
        <v>646</v>
      </c>
      <c r="O35" s="1585">
        <f>O17+O33</f>
        <v>0</v>
      </c>
    </row>
    <row r="36" spans="1:15" ht="16.5" thickTop="1" thickBot="1" x14ac:dyDescent="0.25">
      <c r="A36" s="225"/>
      <c r="B36" s="229"/>
      <c r="C36" s="229"/>
      <c r="D36" s="229"/>
      <c r="E36" s="229"/>
      <c r="F36" s="229"/>
      <c r="G36" s="229"/>
      <c r="H36" s="229"/>
      <c r="I36" s="229"/>
      <c r="L36" s="2"/>
      <c r="M36" s="2"/>
      <c r="N36" s="834" t="s">
        <v>634</v>
      </c>
      <c r="O36" s="1587">
        <f>O18+O34</f>
        <v>0</v>
      </c>
    </row>
    <row r="37" spans="1:15" ht="16.5" thickBot="1" x14ac:dyDescent="0.3">
      <c r="A37" s="128"/>
      <c r="B37" s="1147"/>
      <c r="C37" s="1147"/>
      <c r="D37" s="1147"/>
      <c r="E37" s="1147"/>
      <c r="F37" s="1147"/>
      <c r="G37" s="1147"/>
      <c r="H37" s="139"/>
      <c r="I37" s="139"/>
      <c r="J37" s="1470"/>
      <c r="K37" s="1471"/>
      <c r="L37" s="297"/>
      <c r="M37" s="297"/>
      <c r="N37" s="1583" t="s">
        <v>632</v>
      </c>
      <c r="O37" s="1584">
        <f>O35-O36</f>
        <v>0</v>
      </c>
    </row>
    <row r="38" spans="1:15" ht="15.75" thickTop="1" x14ac:dyDescent="0.2">
      <c r="A38" s="167" t="s">
        <v>45</v>
      </c>
      <c r="B38" s="989"/>
      <c r="C38" s="1505"/>
      <c r="D38" s="1505"/>
      <c r="E38" s="1505"/>
      <c r="F38" s="126"/>
      <c r="G38" s="126"/>
      <c r="H38" s="1447"/>
      <c r="I38" s="1447"/>
      <c r="J38" s="1447"/>
      <c r="K38" s="1447"/>
      <c r="L38" s="126"/>
      <c r="M38" s="126"/>
      <c r="N38" s="1573"/>
      <c r="O38" s="1574"/>
    </row>
    <row r="39" spans="1:15" x14ac:dyDescent="0.2">
      <c r="A39" s="1005"/>
      <c r="B39" s="229" t="s">
        <v>46</v>
      </c>
      <c r="C39" s="1146" t="s">
        <v>47</v>
      </c>
      <c r="D39" s="1146" t="s">
        <v>621</v>
      </c>
      <c r="E39" s="1146"/>
      <c r="F39" s="1147"/>
      <c r="G39" s="1147"/>
      <c r="I39" s="1147"/>
      <c r="J39" s="1146" t="s">
        <v>48</v>
      </c>
      <c r="K39" s="847">
        <v>1600</v>
      </c>
      <c r="O39" s="1507"/>
    </row>
    <row r="40" spans="1:15" x14ac:dyDescent="0.2">
      <c r="A40" s="1006"/>
      <c r="B40" s="229" t="s">
        <v>34</v>
      </c>
      <c r="C40" s="1146" t="s">
        <v>47</v>
      </c>
      <c r="D40" s="227"/>
      <c r="E40" s="227"/>
      <c r="F40" s="228"/>
      <c r="G40" s="1147"/>
      <c r="I40" s="1147"/>
      <c r="J40" s="1146" t="s">
        <v>48</v>
      </c>
      <c r="K40" s="848"/>
      <c r="O40" s="1508"/>
    </row>
    <row r="41" spans="1:15" x14ac:dyDescent="0.2">
      <c r="A41" s="1509"/>
      <c r="B41" s="229" t="s">
        <v>36</v>
      </c>
      <c r="C41" s="1146" t="s">
        <v>47</v>
      </c>
      <c r="D41" s="1146"/>
      <c r="E41" s="1146"/>
      <c r="F41" s="1147"/>
      <c r="G41" s="1147"/>
      <c r="I41" s="1147"/>
      <c r="J41" s="1146" t="s">
        <v>48</v>
      </c>
      <c r="K41" s="847"/>
      <c r="O41" s="1507"/>
    </row>
    <row r="42" spans="1:15" ht="45" x14ac:dyDescent="0.2">
      <c r="A42" s="849" t="s">
        <v>480</v>
      </c>
      <c r="B42" s="863" t="s">
        <v>4</v>
      </c>
      <c r="C42" s="850" t="s">
        <v>38</v>
      </c>
      <c r="D42" s="850" t="s">
        <v>40</v>
      </c>
      <c r="E42" s="850" t="s">
        <v>49</v>
      </c>
      <c r="F42" s="2139" t="s">
        <v>622</v>
      </c>
      <c r="G42" s="2128"/>
      <c r="H42" s="2140" t="s">
        <v>623</v>
      </c>
      <c r="I42" s="2141"/>
      <c r="J42" s="2142"/>
      <c r="K42" s="850" t="s">
        <v>624</v>
      </c>
      <c r="L42" s="850" t="s">
        <v>190</v>
      </c>
      <c r="M42" s="850" t="s">
        <v>50</v>
      </c>
      <c r="N42" s="865" t="s">
        <v>625</v>
      </c>
      <c r="O42" s="852" t="s">
        <v>41</v>
      </c>
    </row>
    <row r="43" spans="1:15" x14ac:dyDescent="0.2">
      <c r="A43" s="1510"/>
      <c r="B43" s="1511"/>
      <c r="C43" s="1512"/>
      <c r="D43" s="1512"/>
      <c r="E43" s="1512"/>
      <c r="F43" s="1513"/>
      <c r="G43" s="1515"/>
      <c r="H43" s="1513"/>
      <c r="I43" s="1514"/>
      <c r="J43" s="1515"/>
      <c r="K43" s="241"/>
      <c r="L43" s="1516"/>
      <c r="M43" s="1517"/>
      <c r="N43" s="1516"/>
      <c r="O43" s="1563">
        <f>K43+L43+M43*N43</f>
        <v>0</v>
      </c>
    </row>
    <row r="44" spans="1:15" x14ac:dyDescent="0.2">
      <c r="A44" s="1518"/>
      <c r="B44" s="1519"/>
      <c r="C44" s="1520"/>
      <c r="D44" s="1520"/>
      <c r="E44" s="1520"/>
      <c r="F44" s="1521"/>
      <c r="G44" s="1523"/>
      <c r="H44" s="1521"/>
      <c r="I44" s="1522"/>
      <c r="J44" s="1523"/>
      <c r="K44" s="240"/>
      <c r="L44" s="1524"/>
      <c r="M44" s="1525"/>
      <c r="N44" s="1524"/>
      <c r="O44" s="1563">
        <f t="shared" ref="O44:O52" si="3">K44+L44+M44*N44</f>
        <v>0</v>
      </c>
    </row>
    <row r="45" spans="1:15" x14ac:dyDescent="0.2">
      <c r="A45" s="1518"/>
      <c r="B45" s="1519"/>
      <c r="C45" s="1520"/>
      <c r="D45" s="1520"/>
      <c r="E45" s="1520"/>
      <c r="F45" s="1521"/>
      <c r="G45" s="1523"/>
      <c r="H45" s="1521"/>
      <c r="I45" s="1522"/>
      <c r="J45" s="1523"/>
      <c r="K45" s="240"/>
      <c r="L45" s="1524"/>
      <c r="M45" s="1525"/>
      <c r="N45" s="1524"/>
      <c r="O45" s="1563">
        <f t="shared" si="3"/>
        <v>0</v>
      </c>
    </row>
    <row r="46" spans="1:15" x14ac:dyDescent="0.2">
      <c r="A46" s="1518"/>
      <c r="B46" s="1519"/>
      <c r="C46" s="1520"/>
      <c r="D46" s="1520"/>
      <c r="E46" s="1520"/>
      <c r="F46" s="1521"/>
      <c r="G46" s="1523"/>
      <c r="H46" s="1521"/>
      <c r="I46" s="1522"/>
      <c r="J46" s="1523"/>
      <c r="K46" s="240"/>
      <c r="L46" s="1524"/>
      <c r="M46" s="1525"/>
      <c r="N46" s="1524"/>
      <c r="O46" s="1563">
        <f t="shared" si="3"/>
        <v>0</v>
      </c>
    </row>
    <row r="47" spans="1:15" x14ac:dyDescent="0.2">
      <c r="A47" s="1518"/>
      <c r="B47" s="1519"/>
      <c r="C47" s="1520"/>
      <c r="D47" s="1520"/>
      <c r="E47" s="1520"/>
      <c r="F47" s="1521"/>
      <c r="G47" s="1523"/>
      <c r="H47" s="1521"/>
      <c r="I47" s="1522"/>
      <c r="J47" s="1523"/>
      <c r="K47" s="240"/>
      <c r="L47" s="1524"/>
      <c r="M47" s="1525"/>
      <c r="N47" s="1524"/>
      <c r="O47" s="1563">
        <f t="shared" si="3"/>
        <v>0</v>
      </c>
    </row>
    <row r="48" spans="1:15" x14ac:dyDescent="0.2">
      <c r="A48" s="1518"/>
      <c r="B48" s="1519"/>
      <c r="C48" s="1520"/>
      <c r="D48" s="1520"/>
      <c r="E48" s="1520"/>
      <c r="F48" s="1521"/>
      <c r="G48" s="1523"/>
      <c r="H48" s="1521"/>
      <c r="I48" s="1522"/>
      <c r="J48" s="1523"/>
      <c r="K48" s="240"/>
      <c r="L48" s="1524"/>
      <c r="M48" s="1525"/>
      <c r="N48" s="1524"/>
      <c r="O48" s="1563">
        <f t="shared" si="3"/>
        <v>0</v>
      </c>
    </row>
    <row r="49" spans="1:15" x14ac:dyDescent="0.2">
      <c r="A49" s="1518"/>
      <c r="B49" s="1519"/>
      <c r="C49" s="1520"/>
      <c r="D49" s="1520"/>
      <c r="E49" s="1520"/>
      <c r="F49" s="1521"/>
      <c r="G49" s="1523"/>
      <c r="H49" s="1521"/>
      <c r="I49" s="1522"/>
      <c r="J49" s="1523"/>
      <c r="K49" s="240"/>
      <c r="L49" s="1524"/>
      <c r="M49" s="1525"/>
      <c r="N49" s="1524"/>
      <c r="O49" s="1563">
        <f t="shared" si="3"/>
        <v>0</v>
      </c>
    </row>
    <row r="50" spans="1:15" x14ac:dyDescent="0.2">
      <c r="A50" s="1518"/>
      <c r="B50" s="1519"/>
      <c r="C50" s="1520"/>
      <c r="D50" s="1520"/>
      <c r="E50" s="1520"/>
      <c r="F50" s="1521"/>
      <c r="G50" s="1523"/>
      <c r="H50" s="1521"/>
      <c r="I50" s="1522"/>
      <c r="J50" s="1523"/>
      <c r="K50" s="240"/>
      <c r="L50" s="1524"/>
      <c r="M50" s="1525"/>
      <c r="N50" s="1524"/>
      <c r="O50" s="1563">
        <f t="shared" si="3"/>
        <v>0</v>
      </c>
    </row>
    <row r="51" spans="1:15" x14ac:dyDescent="0.2">
      <c r="A51" s="1518"/>
      <c r="B51" s="1519"/>
      <c r="C51" s="1520"/>
      <c r="D51" s="1520"/>
      <c r="E51" s="1520"/>
      <c r="F51" s="1521"/>
      <c r="G51" s="1523"/>
      <c r="H51" s="1521"/>
      <c r="I51" s="1522"/>
      <c r="J51" s="1523"/>
      <c r="K51" s="240"/>
      <c r="L51" s="1524"/>
      <c r="M51" s="1525"/>
      <c r="N51" s="1524"/>
      <c r="O51" s="1563">
        <f t="shared" si="3"/>
        <v>0</v>
      </c>
    </row>
    <row r="52" spans="1:15" ht="15.75" thickBot="1" x14ac:dyDescent="0.25">
      <c r="A52" s="1526"/>
      <c r="B52" s="1527"/>
      <c r="C52" s="1528"/>
      <c r="D52" s="1528"/>
      <c r="E52" s="1528"/>
      <c r="F52" s="1529"/>
      <c r="G52" s="1531"/>
      <c r="H52" s="1529"/>
      <c r="I52" s="1530"/>
      <c r="J52" s="1531"/>
      <c r="K52" s="1012"/>
      <c r="L52" s="1532"/>
      <c r="M52" s="1533"/>
      <c r="N52" s="1532"/>
      <c r="O52" s="1643">
        <f t="shared" si="3"/>
        <v>0</v>
      </c>
    </row>
    <row r="53" spans="1:15" x14ac:dyDescent="0.2">
      <c r="A53" s="302"/>
      <c r="B53" s="303"/>
      <c r="C53" s="303"/>
      <c r="D53" s="303"/>
      <c r="E53" s="303"/>
      <c r="F53" s="303"/>
      <c r="G53" s="303"/>
      <c r="L53" s="303"/>
      <c r="M53" s="303"/>
      <c r="N53" s="251" t="s">
        <v>647</v>
      </c>
      <c r="O53" s="1564">
        <f>SUM(O43:O52)</f>
        <v>0</v>
      </c>
    </row>
    <row r="54" spans="1:15" ht="15.75" thickBot="1" x14ac:dyDescent="0.25">
      <c r="A54" s="225"/>
      <c r="B54" s="229"/>
      <c r="C54" s="229"/>
      <c r="D54" s="229"/>
      <c r="E54" s="229"/>
      <c r="F54" s="229"/>
      <c r="G54" s="229"/>
      <c r="L54" s="229"/>
      <c r="M54" s="229"/>
      <c r="N54" s="229" t="s">
        <v>311</v>
      </c>
      <c r="O54" s="1565"/>
    </row>
    <row r="55" spans="1:15" ht="16.5" thickTop="1" thickBot="1" x14ac:dyDescent="0.25">
      <c r="A55" s="1151"/>
      <c r="B55" s="1152"/>
      <c r="C55" s="1152"/>
      <c r="D55" s="1152"/>
      <c r="E55" s="1152"/>
      <c r="F55" s="1152"/>
      <c r="G55" s="1152"/>
      <c r="H55" s="1152"/>
      <c r="I55" s="1152"/>
      <c r="J55" s="1152"/>
      <c r="K55" s="1566"/>
      <c r="L55" s="297"/>
      <c r="M55" s="297"/>
      <c r="N55" s="297"/>
      <c r="O55" s="1453"/>
    </row>
    <row r="56" spans="1:15" ht="15.75" thickTop="1" x14ac:dyDescent="0.2">
      <c r="A56" s="1534" t="s">
        <v>481</v>
      </c>
      <c r="B56" s="1535"/>
      <c r="C56" s="1147"/>
      <c r="D56" s="1147"/>
      <c r="E56" s="1147"/>
      <c r="F56" s="1147"/>
      <c r="G56" s="1147"/>
      <c r="H56" s="1147"/>
      <c r="I56" s="1147"/>
      <c r="J56" s="1147"/>
      <c r="K56" s="1536"/>
    </row>
    <row r="57" spans="1:15" ht="30" x14ac:dyDescent="0.2">
      <c r="A57" s="849" t="s">
        <v>480</v>
      </c>
      <c r="B57" s="863" t="s">
        <v>4</v>
      </c>
      <c r="C57" s="2125" t="s">
        <v>38</v>
      </c>
      <c r="D57" s="2126"/>
      <c r="E57" s="2125" t="s">
        <v>24</v>
      </c>
      <c r="F57" s="2126"/>
      <c r="G57" s="2139" t="s">
        <v>626</v>
      </c>
      <c r="H57" s="2146"/>
      <c r="I57" s="2139" t="s">
        <v>52</v>
      </c>
      <c r="J57" s="2146"/>
      <c r="K57" s="1537" t="s">
        <v>9</v>
      </c>
      <c r="L57" s="1537"/>
      <c r="M57" s="850" t="s">
        <v>51</v>
      </c>
      <c r="N57" s="850" t="s">
        <v>627</v>
      </c>
      <c r="O57" s="852" t="s">
        <v>41</v>
      </c>
    </row>
    <row r="58" spans="1:15" x14ac:dyDescent="0.2">
      <c r="A58" s="1510"/>
      <c r="B58" s="1511"/>
      <c r="C58" s="248"/>
      <c r="D58" s="249"/>
      <c r="E58" s="248"/>
      <c r="F58" s="249"/>
      <c r="G58" s="248"/>
      <c r="H58" s="249"/>
      <c r="I58" s="248"/>
      <c r="J58" s="249"/>
      <c r="K58" s="248"/>
      <c r="L58" s="249"/>
      <c r="M58" s="1538"/>
      <c r="N58" s="1539"/>
      <c r="O58" s="1567"/>
    </row>
    <row r="59" spans="1:15" x14ac:dyDescent="0.2">
      <c r="A59" s="245"/>
      <c r="B59" s="1150"/>
      <c r="C59" s="1149"/>
      <c r="D59" s="1150"/>
      <c r="E59" s="1149"/>
      <c r="F59" s="1150"/>
      <c r="G59" s="1149"/>
      <c r="H59" s="1150"/>
      <c r="I59" s="1149"/>
      <c r="J59" s="1150"/>
      <c r="K59" s="1149"/>
      <c r="L59" s="1150"/>
      <c r="M59" s="1540"/>
      <c r="N59" s="240"/>
      <c r="O59" s="1568"/>
    </row>
    <row r="60" spans="1:15" x14ac:dyDescent="0.2">
      <c r="A60" s="245"/>
      <c r="B60" s="1150"/>
      <c r="C60" s="1149"/>
      <c r="D60" s="1150"/>
      <c r="E60" s="1149"/>
      <c r="F60" s="1150"/>
      <c r="G60" s="1149"/>
      <c r="H60" s="1150"/>
      <c r="I60" s="1149"/>
      <c r="J60" s="1150"/>
      <c r="K60" s="1149"/>
      <c r="L60" s="1150"/>
      <c r="M60" s="1541"/>
      <c r="N60" s="240"/>
      <c r="O60" s="1568"/>
    </row>
    <row r="61" spans="1:15" x14ac:dyDescent="0.2">
      <c r="A61" s="245"/>
      <c r="B61" s="1150"/>
      <c r="C61" s="1149"/>
      <c r="D61" s="1150"/>
      <c r="E61" s="1149"/>
      <c r="F61" s="1150"/>
      <c r="G61" s="1149"/>
      <c r="H61" s="1150"/>
      <c r="I61" s="1149"/>
      <c r="J61" s="1150"/>
      <c r="K61" s="1149"/>
      <c r="L61" s="1150"/>
      <c r="M61" s="1541"/>
      <c r="N61" s="240"/>
      <c r="O61" s="1568"/>
    </row>
    <row r="62" spans="1:15" x14ac:dyDescent="0.2">
      <c r="A62" s="245"/>
      <c r="B62" s="1150"/>
      <c r="C62" s="1149"/>
      <c r="D62" s="1150"/>
      <c r="E62" s="1149"/>
      <c r="F62" s="1150"/>
      <c r="G62" s="1149"/>
      <c r="H62" s="1150"/>
      <c r="I62" s="1149"/>
      <c r="J62" s="1150"/>
      <c r="K62" s="1149"/>
      <c r="L62" s="1150"/>
      <c r="M62" s="1541"/>
      <c r="N62" s="240"/>
      <c r="O62" s="1568"/>
    </row>
    <row r="63" spans="1:15" x14ac:dyDescent="0.2">
      <c r="A63" s="245"/>
      <c r="B63" s="1150"/>
      <c r="C63" s="1149"/>
      <c r="D63" s="1150"/>
      <c r="E63" s="1149"/>
      <c r="F63" s="1150"/>
      <c r="G63" s="1149"/>
      <c r="H63" s="1150"/>
      <c r="I63" s="1149"/>
      <c r="J63" s="1150"/>
      <c r="K63" s="1149"/>
      <c r="L63" s="1150"/>
      <c r="M63" s="1541"/>
      <c r="N63" s="240"/>
      <c r="O63" s="1568"/>
    </row>
    <row r="64" spans="1:15" x14ac:dyDescent="0.2">
      <c r="A64" s="245"/>
      <c r="B64" s="1150"/>
      <c r="C64" s="1149"/>
      <c r="D64" s="1150"/>
      <c r="E64" s="1149"/>
      <c r="F64" s="1150"/>
      <c r="G64" s="1149"/>
      <c r="H64" s="1150"/>
      <c r="I64" s="1149"/>
      <c r="J64" s="1150"/>
      <c r="K64" s="1149"/>
      <c r="L64" s="1150"/>
      <c r="M64" s="1541"/>
      <c r="N64" s="240"/>
      <c r="O64" s="1568"/>
    </row>
    <row r="65" spans="1:15" x14ac:dyDescent="0.2">
      <c r="A65" s="245"/>
      <c r="B65" s="1150"/>
      <c r="C65" s="1149"/>
      <c r="D65" s="1150"/>
      <c r="E65" s="1149"/>
      <c r="F65" s="1150"/>
      <c r="G65" s="1149"/>
      <c r="H65" s="1150"/>
      <c r="I65" s="1149"/>
      <c r="J65" s="1150"/>
      <c r="K65" s="1149"/>
      <c r="L65" s="1150"/>
      <c r="M65" s="1541"/>
      <c r="N65" s="240"/>
      <c r="O65" s="1568"/>
    </row>
    <row r="66" spans="1:15" x14ac:dyDescent="0.2">
      <c r="A66" s="245"/>
      <c r="B66" s="1150"/>
      <c r="C66" s="1149"/>
      <c r="D66" s="1150"/>
      <c r="E66" s="1149"/>
      <c r="F66" s="1150"/>
      <c r="G66" s="1149"/>
      <c r="H66" s="1150"/>
      <c r="I66" s="1149"/>
      <c r="J66" s="1150"/>
      <c r="K66" s="1149"/>
      <c r="L66" s="1150"/>
      <c r="M66" s="1541"/>
      <c r="N66" s="240"/>
      <c r="O66" s="1568"/>
    </row>
    <row r="67" spans="1:15" ht="15.75" thickBot="1" x14ac:dyDescent="0.25">
      <c r="A67" s="1014"/>
      <c r="B67" s="1015"/>
      <c r="C67" s="1464"/>
      <c r="D67" s="1015"/>
      <c r="E67" s="1464"/>
      <c r="F67" s="1015"/>
      <c r="G67" s="1464"/>
      <c r="H67" s="1015"/>
      <c r="I67" s="1464"/>
      <c r="J67" s="1015"/>
      <c r="K67" s="1464"/>
      <c r="L67" s="1015"/>
      <c r="M67" s="1542"/>
      <c r="N67" s="1012"/>
      <c r="O67" s="1569"/>
    </row>
    <row r="68" spans="1:15" x14ac:dyDescent="0.2">
      <c r="A68" s="302"/>
      <c r="B68" s="303"/>
      <c r="C68" s="303"/>
      <c r="D68" s="303"/>
      <c r="E68" s="303"/>
      <c r="F68" s="303"/>
      <c r="G68" s="303"/>
      <c r="H68" s="303"/>
      <c r="M68" s="303"/>
      <c r="N68" s="251" t="s">
        <v>648</v>
      </c>
      <c r="O68" s="1564">
        <f>SUM(O58:O67)</f>
        <v>0</v>
      </c>
    </row>
    <row r="69" spans="1:15" ht="15.75" thickBot="1" x14ac:dyDescent="0.25">
      <c r="A69" s="225"/>
      <c r="B69" s="229"/>
      <c r="C69" s="229"/>
      <c r="D69" s="229"/>
      <c r="E69" s="229"/>
      <c r="F69" s="229"/>
      <c r="G69" s="229"/>
      <c r="H69" s="229"/>
      <c r="M69" s="229"/>
      <c r="N69" s="229" t="s">
        <v>311</v>
      </c>
      <c r="O69" s="1557"/>
    </row>
    <row r="70" spans="1:15" ht="15.75" thickBot="1" x14ac:dyDescent="0.25">
      <c r="A70" s="197"/>
      <c r="B70" s="139"/>
      <c r="C70" s="139"/>
      <c r="D70" s="139"/>
      <c r="E70" s="139"/>
      <c r="F70" s="139"/>
      <c r="G70" s="139"/>
      <c r="H70" s="297"/>
      <c r="I70" s="297"/>
      <c r="J70" s="297"/>
      <c r="K70" s="297"/>
      <c r="L70" s="139"/>
      <c r="M70" s="139"/>
      <c r="N70" s="139"/>
      <c r="O70" s="1543"/>
    </row>
    <row r="71" spans="1:15" ht="15.75" thickTop="1" x14ac:dyDescent="0.2">
      <c r="A71" s="1534" t="s">
        <v>628</v>
      </c>
      <c r="B71" s="1535"/>
      <c r="C71" s="1147"/>
      <c r="D71" s="1147"/>
      <c r="E71" s="1147"/>
      <c r="F71" s="1147"/>
      <c r="G71" s="1147"/>
      <c r="H71" s="1506"/>
      <c r="I71" s="1506"/>
      <c r="J71" s="1506"/>
      <c r="K71" s="1506"/>
      <c r="L71" s="1147"/>
      <c r="M71" s="1147"/>
      <c r="N71" s="1147"/>
      <c r="O71" s="1507"/>
    </row>
    <row r="72" spans="1:15" ht="30" x14ac:dyDescent="0.2">
      <c r="A72" s="849" t="s">
        <v>480</v>
      </c>
      <c r="B72" s="863" t="s">
        <v>4</v>
      </c>
      <c r="C72" s="1137" t="s">
        <v>38</v>
      </c>
      <c r="D72" s="1139" t="s">
        <v>24</v>
      </c>
      <c r="E72" s="853" t="s">
        <v>42</v>
      </c>
      <c r="F72" s="853" t="s">
        <v>43</v>
      </c>
      <c r="G72" s="2125" t="s">
        <v>629</v>
      </c>
      <c r="H72" s="2147"/>
      <c r="I72" s="2148" t="s">
        <v>630</v>
      </c>
      <c r="J72" s="2149"/>
      <c r="K72" s="1575" t="s">
        <v>631</v>
      </c>
      <c r="L72" s="2145" t="s">
        <v>53</v>
      </c>
      <c r="M72" s="2145"/>
      <c r="N72" s="850" t="s">
        <v>54</v>
      </c>
      <c r="O72" s="852" t="s">
        <v>41</v>
      </c>
    </row>
    <row r="73" spans="1:15" x14ac:dyDescent="0.2">
      <c r="A73" s="257"/>
      <c r="B73" s="1003"/>
      <c r="C73" s="1149"/>
      <c r="D73" s="1149"/>
      <c r="E73" s="240"/>
      <c r="F73" s="240"/>
      <c r="G73" s="1153"/>
      <c r="H73" s="1154"/>
      <c r="I73" s="1153"/>
      <c r="J73" s="1154"/>
      <c r="K73" s="240"/>
      <c r="L73" s="1153"/>
      <c r="M73" s="1154"/>
      <c r="N73" s="240"/>
      <c r="O73" s="1568"/>
    </row>
    <row r="74" spans="1:15" x14ac:dyDescent="0.2">
      <c r="A74" s="1544"/>
      <c r="B74" s="1003"/>
      <c r="C74" s="1149"/>
      <c r="D74" s="1149"/>
      <c r="E74" s="240"/>
      <c r="F74" s="240"/>
      <c r="G74" s="1149"/>
      <c r="H74" s="1150"/>
      <c r="I74" s="1149"/>
      <c r="J74" s="1150"/>
      <c r="K74" s="240"/>
      <c r="L74" s="1149"/>
      <c r="M74" s="1150"/>
      <c r="N74" s="240"/>
      <c r="O74" s="1568"/>
    </row>
    <row r="75" spans="1:15" x14ac:dyDescent="0.2">
      <c r="A75" s="1544"/>
      <c r="B75" s="1003"/>
      <c r="C75" s="1149"/>
      <c r="D75" s="1149"/>
      <c r="E75" s="240"/>
      <c r="F75" s="240"/>
      <c r="G75" s="1149"/>
      <c r="H75" s="1150"/>
      <c r="I75" s="1149"/>
      <c r="J75" s="1150"/>
      <c r="K75" s="240"/>
      <c r="L75" s="1149"/>
      <c r="M75" s="1150"/>
      <c r="N75" s="240"/>
      <c r="O75" s="1568"/>
    </row>
    <row r="76" spans="1:15" x14ac:dyDescent="0.2">
      <c r="A76" s="1544"/>
      <c r="B76" s="1003"/>
      <c r="C76" s="1149"/>
      <c r="D76" s="1149"/>
      <c r="E76" s="240"/>
      <c r="F76" s="240"/>
      <c r="G76" s="1149"/>
      <c r="H76" s="1150"/>
      <c r="I76" s="1149"/>
      <c r="J76" s="1150"/>
      <c r="K76" s="240"/>
      <c r="L76" s="1149"/>
      <c r="M76" s="1150"/>
      <c r="N76" s="240"/>
      <c r="O76" s="1568"/>
    </row>
    <row r="77" spans="1:15" x14ac:dyDescent="0.2">
      <c r="A77" s="1544"/>
      <c r="B77" s="1003"/>
      <c r="C77" s="1149"/>
      <c r="D77" s="1149"/>
      <c r="E77" s="240"/>
      <c r="F77" s="240"/>
      <c r="G77" s="1149"/>
      <c r="H77" s="1150"/>
      <c r="I77" s="1149"/>
      <c r="J77" s="1150"/>
      <c r="K77" s="240"/>
      <c r="L77" s="1149"/>
      <c r="M77" s="1150"/>
      <c r="N77" s="240"/>
      <c r="O77" s="1568"/>
    </row>
    <row r="78" spans="1:15" x14ac:dyDescent="0.2">
      <c r="A78" s="304"/>
      <c r="B78" s="1004"/>
      <c r="C78" s="1149"/>
      <c r="D78" s="1149"/>
      <c r="E78" s="240"/>
      <c r="F78" s="240"/>
      <c r="G78" s="1149"/>
      <c r="H78" s="1150"/>
      <c r="I78" s="1149"/>
      <c r="J78" s="1150"/>
      <c r="K78" s="240"/>
      <c r="L78" s="1149"/>
      <c r="M78" s="1150"/>
      <c r="N78" s="240"/>
      <c r="O78" s="1568"/>
    </row>
    <row r="79" spans="1:15" x14ac:dyDescent="0.2">
      <c r="A79" s="245"/>
      <c r="B79" s="1155"/>
      <c r="C79" s="1149"/>
      <c r="D79" s="1149"/>
      <c r="E79" s="240"/>
      <c r="F79" s="240"/>
      <c r="G79" s="1149"/>
      <c r="H79" s="1150"/>
      <c r="I79" s="1149"/>
      <c r="J79" s="1150"/>
      <c r="K79" s="240"/>
      <c r="L79" s="1149"/>
      <c r="M79" s="1150"/>
      <c r="N79" s="240"/>
      <c r="O79" s="1568"/>
    </row>
    <row r="80" spans="1:15" x14ac:dyDescent="0.2">
      <c r="A80" s="245"/>
      <c r="B80" s="1155"/>
      <c r="C80" s="1149"/>
      <c r="D80" s="1149"/>
      <c r="E80" s="240"/>
      <c r="F80" s="240"/>
      <c r="G80" s="1149"/>
      <c r="H80" s="1150"/>
      <c r="I80" s="1149"/>
      <c r="J80" s="1150"/>
      <c r="K80" s="240"/>
      <c r="L80" s="1149"/>
      <c r="M80" s="1150"/>
      <c r="N80" s="240"/>
      <c r="O80" s="1568"/>
    </row>
    <row r="81" spans="1:15" x14ac:dyDescent="0.2">
      <c r="A81" s="245"/>
      <c r="B81" s="1155"/>
      <c r="C81" s="1149"/>
      <c r="D81" s="1149"/>
      <c r="E81" s="240"/>
      <c r="F81" s="240"/>
      <c r="G81" s="1149"/>
      <c r="H81" s="1150"/>
      <c r="I81" s="1149"/>
      <c r="J81" s="1150"/>
      <c r="K81" s="240"/>
      <c r="L81" s="1149"/>
      <c r="M81" s="1150"/>
      <c r="N81" s="240"/>
      <c r="O81" s="1568"/>
    </row>
    <row r="82" spans="1:15" ht="15.75" thickBot="1" x14ac:dyDescent="0.25">
      <c r="A82" s="1014"/>
      <c r="B82" s="1465"/>
      <c r="C82" s="1464"/>
      <c r="D82" s="1464"/>
      <c r="E82" s="1012"/>
      <c r="F82" s="1012"/>
      <c r="G82" s="1464"/>
      <c r="H82" s="1015"/>
      <c r="I82" s="1464"/>
      <c r="J82" s="1015"/>
      <c r="K82" s="1012"/>
      <c r="L82" s="1464"/>
      <c r="M82" s="1015"/>
      <c r="N82" s="1012"/>
      <c r="O82" s="1569"/>
    </row>
    <row r="83" spans="1:15" x14ac:dyDescent="0.2">
      <c r="A83" s="302"/>
      <c r="B83" s="303"/>
      <c r="C83" s="303"/>
      <c r="D83" s="303"/>
      <c r="E83" s="303"/>
      <c r="F83" s="303"/>
      <c r="G83" s="303"/>
      <c r="L83" s="303"/>
      <c r="M83" s="303"/>
      <c r="N83" s="251" t="s">
        <v>649</v>
      </c>
      <c r="O83" s="1564">
        <f>SUM(O73:O82)</f>
        <v>0</v>
      </c>
    </row>
    <row r="84" spans="1:15" ht="15.75" thickBot="1" x14ac:dyDescent="0.25">
      <c r="A84" s="225"/>
      <c r="B84" s="229"/>
      <c r="C84" s="229"/>
      <c r="D84" s="229"/>
      <c r="E84" s="229"/>
      <c r="F84" s="229"/>
      <c r="G84" s="229"/>
      <c r="L84" s="229"/>
      <c r="M84" s="229"/>
      <c r="N84" s="229" t="s">
        <v>311</v>
      </c>
      <c r="O84" s="1557"/>
    </row>
    <row r="85" spans="1:15" ht="15.75" thickBot="1" x14ac:dyDescent="0.25">
      <c r="A85" s="225"/>
      <c r="B85" s="229"/>
      <c r="C85" s="229"/>
      <c r="D85" s="229"/>
      <c r="E85" s="229"/>
      <c r="F85" s="229"/>
      <c r="G85" s="229"/>
      <c r="H85" s="297"/>
      <c r="I85" s="297"/>
      <c r="J85" s="297"/>
      <c r="K85" s="297"/>
      <c r="L85" s="229"/>
      <c r="M85" s="229"/>
      <c r="N85" s="1545"/>
      <c r="O85" s="1507"/>
    </row>
    <row r="86" spans="1:15" ht="15.75" thickTop="1" x14ac:dyDescent="0.2">
      <c r="A86" s="232"/>
      <c r="B86" s="233"/>
      <c r="C86" s="233"/>
      <c r="D86" s="233"/>
      <c r="E86" s="233"/>
      <c r="F86" s="233"/>
      <c r="G86" s="233"/>
      <c r="L86" s="233"/>
      <c r="M86" s="233"/>
      <c r="N86" s="233" t="s">
        <v>650</v>
      </c>
      <c r="O86" s="1570">
        <f>O35+O53+O68+O83</f>
        <v>0</v>
      </c>
    </row>
    <row r="87" spans="1:15" ht="15.75" thickBot="1" x14ac:dyDescent="0.25">
      <c r="A87" s="225"/>
      <c r="B87" s="229"/>
      <c r="C87" s="229"/>
      <c r="D87" s="229"/>
      <c r="E87" s="229"/>
      <c r="F87" s="229"/>
      <c r="G87" s="229"/>
      <c r="L87" s="229"/>
      <c r="M87" s="229"/>
      <c r="N87" s="229" t="s">
        <v>311</v>
      </c>
      <c r="O87" s="1571">
        <f>O36+O53+O69+O84</f>
        <v>0</v>
      </c>
    </row>
    <row r="88" spans="1:15" ht="15.75" thickBot="1" x14ac:dyDescent="0.25">
      <c r="A88" s="1546"/>
      <c r="B88" s="297"/>
      <c r="C88" s="297"/>
      <c r="D88" s="297"/>
      <c r="E88" s="297"/>
      <c r="F88" s="297"/>
      <c r="G88" s="297"/>
      <c r="H88" s="297"/>
      <c r="I88" s="297"/>
      <c r="J88" s="297"/>
      <c r="K88" s="297"/>
      <c r="L88" s="297"/>
      <c r="M88" s="297"/>
      <c r="N88" s="1547" t="s">
        <v>632</v>
      </c>
      <c r="O88" s="1548">
        <f>O86-O87</f>
        <v>0</v>
      </c>
    </row>
    <row r="89" spans="1:15" ht="15.75" thickTop="1" x14ac:dyDescent="0.2"/>
    <row r="90" spans="1:15" x14ac:dyDescent="0.2">
      <c r="B90" s="1171" t="s">
        <v>519</v>
      </c>
      <c r="G90" s="1549"/>
      <c r="H90" s="1549"/>
    </row>
    <row r="91" spans="1:15" x14ac:dyDescent="0.2">
      <c r="B91" s="1171" t="s">
        <v>521</v>
      </c>
    </row>
    <row r="92" spans="1:15" x14ac:dyDescent="0.2">
      <c r="A92" s="2"/>
      <c r="B92" s="1171" t="s">
        <v>523</v>
      </c>
      <c r="C92" s="2"/>
      <c r="D92" s="2"/>
      <c r="E92" s="2"/>
      <c r="F92" s="2"/>
      <c r="G92" s="2"/>
      <c r="H92" s="2"/>
      <c r="I92" s="2"/>
      <c r="J92" s="2"/>
      <c r="K92" s="2"/>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28">
    <mergeCell ref="L72:M72"/>
    <mergeCell ref="C57:D57"/>
    <mergeCell ref="E57:F57"/>
    <mergeCell ref="G57:H57"/>
    <mergeCell ref="I57:J57"/>
    <mergeCell ref="G72:H72"/>
    <mergeCell ref="I72:J72"/>
    <mergeCell ref="M21:M22"/>
    <mergeCell ref="N21:N22"/>
    <mergeCell ref="O21:O22"/>
    <mergeCell ref="F42:G42"/>
    <mergeCell ref="H42:J42"/>
    <mergeCell ref="L20:L22"/>
    <mergeCell ref="H21:H22"/>
    <mergeCell ref="I21:I22"/>
    <mergeCell ref="J21:J22"/>
    <mergeCell ref="K21:K22"/>
    <mergeCell ref="A21:A22"/>
    <mergeCell ref="D21:D22"/>
    <mergeCell ref="E21:E22"/>
    <mergeCell ref="F21:F22"/>
    <mergeCell ref="G21:G22"/>
    <mergeCell ref="A3:C3"/>
    <mergeCell ref="H3:I3"/>
    <mergeCell ref="D6:E6"/>
    <mergeCell ref="I6:K6"/>
    <mergeCell ref="B20:F20"/>
    <mergeCell ref="G20:K20"/>
  </mergeCells>
  <phoneticPr fontId="0" type="noConversion"/>
  <pageMargins left="0.94488188976377963" right="0.55118110236220474" top="0.62992125984251968" bottom="0.98425196850393704" header="0.51181102362204722" footer="0.51181102362204722"/>
  <pageSetup paperSize="9" scale="66" orientation="landscape" horizontalDpi="4294967293" verticalDpi="200" r:id="rId2"/>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65"/>
  <sheetViews>
    <sheetView workbookViewId="0">
      <selection activeCell="K6" sqref="K6"/>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1164"/>
      <c r="B1" s="1165"/>
      <c r="C1" s="1165"/>
      <c r="D1" s="1166" t="s">
        <v>482</v>
      </c>
      <c r="E1" s="1167"/>
      <c r="F1" s="1167"/>
      <c r="G1" s="1165"/>
      <c r="H1" s="1165"/>
      <c r="I1" s="1165"/>
      <c r="J1" s="1165"/>
      <c r="K1" s="1165"/>
      <c r="L1" s="1165"/>
      <c r="M1" s="1168" t="s">
        <v>483</v>
      </c>
      <c r="N1" s="1169"/>
      <c r="O1" s="1168"/>
    </row>
    <row r="2" spans="1:15" x14ac:dyDescent="0.2">
      <c r="A2" s="1170"/>
      <c r="B2" s="1171"/>
      <c r="C2" s="1172"/>
      <c r="D2" s="1172" t="s">
        <v>484</v>
      </c>
      <c r="E2" s="1172"/>
      <c r="F2" s="1172"/>
      <c r="G2" s="1172"/>
      <c r="H2" s="1172"/>
      <c r="I2" s="1172"/>
      <c r="J2" s="1172"/>
      <c r="K2" s="1172"/>
      <c r="L2" s="1172"/>
      <c r="M2" s="1172"/>
      <c r="N2" s="1171" t="s">
        <v>485</v>
      </c>
      <c r="O2" s="1173"/>
    </row>
    <row r="3" spans="1:15" x14ac:dyDescent="0.2">
      <c r="A3" s="1170"/>
      <c r="B3" s="1171"/>
      <c r="C3" s="1172"/>
      <c r="D3" s="1172"/>
      <c r="E3" s="1172"/>
      <c r="F3" s="1172"/>
      <c r="G3" s="1172"/>
      <c r="H3" s="1172"/>
      <c r="I3" s="1172"/>
      <c r="J3" s="1172"/>
      <c r="K3" s="1172"/>
      <c r="L3" s="1172"/>
      <c r="M3" s="1172"/>
      <c r="N3" s="1172"/>
      <c r="O3" s="1173"/>
    </row>
    <row r="4" spans="1:15" x14ac:dyDescent="0.2">
      <c r="A4" s="1170"/>
      <c r="B4" s="1171"/>
      <c r="C4" s="1172"/>
      <c r="D4" s="1172"/>
      <c r="E4" s="1174" t="s">
        <v>486</v>
      </c>
      <c r="F4" s="1172"/>
      <c r="G4" s="1172"/>
      <c r="H4" s="1172"/>
      <c r="I4" s="1175" t="s">
        <v>428</v>
      </c>
      <c r="J4" s="1737">
        <v>0</v>
      </c>
      <c r="K4" s="1172"/>
      <c r="L4" s="1172"/>
      <c r="M4" s="1176" t="s">
        <v>487</v>
      </c>
      <c r="N4" s="1172"/>
      <c r="O4" s="1642"/>
    </row>
    <row r="5" spans="1:15" x14ac:dyDescent="0.2">
      <c r="A5" s="1170"/>
      <c r="B5" s="1171"/>
      <c r="C5" s="1172"/>
      <c r="D5" s="1172"/>
      <c r="E5" s="1712"/>
      <c r="F5" s="1713"/>
      <c r="G5" s="1714"/>
      <c r="H5" s="1715"/>
      <c r="I5" s="1181" t="s">
        <v>488</v>
      </c>
      <c r="J5" s="1720">
        <f>'Input Data'!$D$6</f>
        <v>0</v>
      </c>
      <c r="K5" s="1172"/>
      <c r="L5" s="1172"/>
      <c r="M5" s="1176" t="s">
        <v>489</v>
      </c>
      <c r="N5" s="2152"/>
      <c r="O5" s="2153"/>
    </row>
    <row r="6" spans="1:15" x14ac:dyDescent="0.2">
      <c r="A6" s="1177" t="s">
        <v>490</v>
      </c>
      <c r="B6" s="1171"/>
      <c r="C6" s="1178"/>
      <c r="D6" s="1040" t="s">
        <v>428</v>
      </c>
      <c r="E6" s="1179"/>
      <c r="F6" s="1179"/>
      <c r="G6" s="1179"/>
      <c r="H6" s="1179"/>
      <c r="I6" s="1179"/>
      <c r="J6" s="1179"/>
      <c r="K6" s="1179"/>
      <c r="L6" s="1179"/>
      <c r="M6" s="1179"/>
      <c r="N6" s="1172"/>
      <c r="O6" s="1173"/>
    </row>
    <row r="7" spans="1:15" x14ac:dyDescent="0.2">
      <c r="A7" s="1177" t="s">
        <v>491</v>
      </c>
      <c r="B7" s="1171"/>
      <c r="C7" s="1175"/>
      <c r="D7" s="1040" t="s">
        <v>428</v>
      </c>
      <c r="E7" s="1179"/>
      <c r="F7" s="1179"/>
      <c r="G7" s="1179"/>
      <c r="H7" s="1179"/>
      <c r="I7" s="1179"/>
      <c r="J7" s="1180"/>
      <c r="K7" s="1179"/>
      <c r="L7" s="1179"/>
      <c r="M7" s="1179"/>
      <c r="N7" s="1172"/>
      <c r="O7" s="1173"/>
    </row>
    <row r="8" spans="1:15" x14ac:dyDescent="0.2">
      <c r="A8" s="1170"/>
      <c r="B8" s="1171"/>
      <c r="C8" s="1172"/>
      <c r="D8" s="1171"/>
      <c r="E8" s="1171"/>
      <c r="F8" s="1171"/>
      <c r="G8" s="1171"/>
      <c r="H8" s="1171"/>
      <c r="I8" s="1171"/>
      <c r="J8" s="1181"/>
      <c r="K8" s="1171"/>
      <c r="L8" s="1171"/>
      <c r="M8" s="1171"/>
      <c r="N8" s="1171"/>
      <c r="O8" s="1173"/>
    </row>
    <row r="9" spans="1:15" x14ac:dyDescent="0.2">
      <c r="A9" s="1177" t="s">
        <v>492</v>
      </c>
      <c r="B9" s="1171"/>
      <c r="C9" s="1040" t="s">
        <v>493</v>
      </c>
      <c r="D9" s="1172"/>
      <c r="E9" s="1172"/>
      <c r="F9" s="1172"/>
      <c r="G9" s="1172"/>
      <c r="H9" s="1171"/>
      <c r="I9" s="1171"/>
      <c r="J9" s="1172"/>
      <c r="K9" s="1172"/>
      <c r="L9" s="1172"/>
      <c r="M9" s="1172"/>
      <c r="N9" s="1172"/>
      <c r="O9" s="1173"/>
    </row>
    <row r="10" spans="1:15" x14ac:dyDescent="0.2">
      <c r="A10" s="1182" t="s">
        <v>494</v>
      </c>
      <c r="B10" s="1183"/>
      <c r="C10" s="1184"/>
      <c r="D10" s="1184"/>
      <c r="E10" s="1184"/>
      <c r="F10" s="1184"/>
      <c r="G10" s="1184"/>
      <c r="H10" s="1185" t="s">
        <v>495</v>
      </c>
      <c r="I10" s="1186"/>
      <c r="J10" s="1187" t="s">
        <v>496</v>
      </c>
      <c r="K10" s="1188" t="s">
        <v>497</v>
      </c>
      <c r="L10" s="1189"/>
      <c r="M10" s="1190"/>
      <c r="N10" s="1191" t="s">
        <v>498</v>
      </c>
      <c r="O10" s="1192" t="s">
        <v>499</v>
      </c>
    </row>
    <row r="11" spans="1:15" x14ac:dyDescent="0.2">
      <c r="A11" s="1415"/>
      <c r="B11" s="1193"/>
      <c r="C11" s="1194"/>
      <c r="D11" s="1339" t="s">
        <v>500</v>
      </c>
      <c r="E11" s="1595"/>
      <c r="F11" s="1596" t="s">
        <v>501</v>
      </c>
      <c r="G11" s="1195"/>
      <c r="H11" s="1196" t="s">
        <v>502</v>
      </c>
      <c r="I11" s="1171"/>
      <c r="J11" s="1197" t="s">
        <v>503</v>
      </c>
      <c r="K11" s="1198" t="s">
        <v>504</v>
      </c>
      <c r="L11" s="1193" t="s">
        <v>505</v>
      </c>
      <c r="M11" s="1187" t="s">
        <v>506</v>
      </c>
      <c r="N11" s="1199" t="s">
        <v>507</v>
      </c>
      <c r="O11" s="1200" t="s">
        <v>508</v>
      </c>
    </row>
    <row r="12" spans="1:15" x14ac:dyDescent="0.2">
      <c r="A12" s="1416"/>
      <c r="B12" s="2154" t="s">
        <v>4</v>
      </c>
      <c r="C12" s="2155"/>
      <c r="D12" s="1201" t="s">
        <v>509</v>
      </c>
      <c r="E12" s="1202"/>
      <c r="F12" s="1203" t="s">
        <v>509</v>
      </c>
      <c r="G12" s="1202"/>
      <c r="H12" s="2154" t="s">
        <v>510</v>
      </c>
      <c r="I12" s="2156"/>
      <c r="J12" s="1204" t="s">
        <v>511</v>
      </c>
      <c r="K12" s="1205" t="s">
        <v>512</v>
      </c>
      <c r="L12" s="1203" t="s">
        <v>513</v>
      </c>
      <c r="M12" s="1206" t="s">
        <v>514</v>
      </c>
      <c r="N12" s="1204" t="s">
        <v>515</v>
      </c>
      <c r="O12" s="1207" t="s">
        <v>516</v>
      </c>
    </row>
    <row r="13" spans="1:15" x14ac:dyDescent="0.2">
      <c r="A13" s="1208" t="s">
        <v>517</v>
      </c>
      <c r="B13" s="1209"/>
      <c r="C13" s="1210"/>
      <c r="D13" s="2157"/>
      <c r="E13" s="2158"/>
      <c r="F13" s="1209"/>
      <c r="G13" s="1210"/>
      <c r="H13" s="1211"/>
      <c r="I13" s="1212"/>
      <c r="J13" s="1213"/>
      <c r="K13" s="1214"/>
      <c r="L13" s="1215"/>
      <c r="M13" s="1216"/>
      <c r="N13" s="1210"/>
      <c r="O13" s="1217"/>
    </row>
    <row r="14" spans="1:15" x14ac:dyDescent="0.2">
      <c r="A14" s="1218" t="s">
        <v>518</v>
      </c>
      <c r="B14" s="1219"/>
      <c r="C14" s="1220"/>
      <c r="D14" s="1205"/>
      <c r="E14" s="1221"/>
      <c r="F14" s="1219"/>
      <c r="G14" s="1220"/>
      <c r="H14" s="1222"/>
      <c r="I14" s="1223"/>
      <c r="J14" s="1224"/>
      <c r="K14" s="1225"/>
      <c r="L14" s="1225"/>
      <c r="M14" s="1226"/>
      <c r="N14" s="1204"/>
      <c r="O14" s="1227"/>
    </row>
    <row r="15" spans="1:15" x14ac:dyDescent="0.2">
      <c r="A15" s="1228"/>
      <c r="B15" s="1229"/>
      <c r="C15" s="1171"/>
      <c r="D15" s="1199"/>
      <c r="E15" s="1230"/>
      <c r="F15" s="1229"/>
      <c r="G15" s="1171"/>
      <c r="H15" s="1171"/>
      <c r="I15" s="1171"/>
      <c r="J15" s="1178" t="s">
        <v>416</v>
      </c>
      <c r="K15" s="1199" t="s">
        <v>418</v>
      </c>
      <c r="L15" s="1178" t="s">
        <v>419</v>
      </c>
      <c r="M15" s="1199" t="s">
        <v>420</v>
      </c>
      <c r="N15" s="1171"/>
      <c r="O15" s="1231" t="s">
        <v>8</v>
      </c>
    </row>
    <row r="16" spans="1:15" ht="15.75" thickBot="1" x14ac:dyDescent="0.25">
      <c r="A16" s="1170" t="s">
        <v>519</v>
      </c>
      <c r="B16" s="1229"/>
      <c r="C16" s="1171"/>
      <c r="D16" s="1199"/>
      <c r="E16" s="1230"/>
      <c r="F16" s="1229"/>
      <c r="G16" s="1171"/>
      <c r="H16" s="1171"/>
      <c r="I16" s="1171"/>
      <c r="J16" s="1040" t="s">
        <v>520</v>
      </c>
      <c r="K16" s="1171"/>
      <c r="L16" s="1135"/>
      <c r="M16" s="1040"/>
      <c r="N16" s="1171"/>
      <c r="O16" s="1232">
        <f>J13+J14+K13+K14+L13+L14+M13+M14</f>
        <v>0</v>
      </c>
    </row>
    <row r="17" spans="1:15" x14ac:dyDescent="0.2">
      <c r="A17" s="1170" t="s">
        <v>521</v>
      </c>
      <c r="B17" s="1229"/>
      <c r="C17" s="1171"/>
      <c r="D17" s="1199"/>
      <c r="E17" s="1233"/>
      <c r="F17" s="1229"/>
      <c r="G17" s="1171"/>
      <c r="H17" s="1171"/>
      <c r="I17" s="1171"/>
      <c r="J17" s="1199"/>
      <c r="K17" s="1234"/>
      <c r="L17" s="1235"/>
      <c r="M17" s="1236"/>
      <c r="N17" s="1237" t="s">
        <v>522</v>
      </c>
      <c r="O17" s="1238" t="s">
        <v>8</v>
      </c>
    </row>
    <row r="18" spans="1:15" ht="15.75" thickBot="1" x14ac:dyDescent="0.25">
      <c r="A18" s="1239" t="s">
        <v>523</v>
      </c>
      <c r="B18" s="1240"/>
      <c r="C18" s="1241"/>
      <c r="D18" s="1242"/>
      <c r="E18" s="1243"/>
      <c r="F18" s="1240"/>
      <c r="G18" s="1241"/>
      <c r="H18" s="1241"/>
      <c r="I18" s="1241"/>
      <c r="J18" s="1242"/>
      <c r="K18" s="1244" t="s">
        <v>524</v>
      </c>
      <c r="L18" s="1243"/>
      <c r="M18" s="1242"/>
      <c r="N18" s="1245">
        <v>0</v>
      </c>
      <c r="O18" s="1246"/>
    </row>
    <row r="19" spans="1:15" ht="15.75" thickTop="1" x14ac:dyDescent="0.2">
      <c r="A19" s="1170"/>
      <c r="B19" s="1229"/>
      <c r="C19" s="1171"/>
      <c r="D19" s="1199"/>
      <c r="E19" s="1233"/>
      <c r="F19" s="1229"/>
      <c r="G19" s="1171"/>
      <c r="H19" s="1171"/>
      <c r="I19" s="1171"/>
      <c r="J19" s="1199"/>
      <c r="K19" s="1229"/>
      <c r="L19" s="1233"/>
      <c r="M19" s="1199"/>
      <c r="N19" s="1199"/>
      <c r="O19" s="1247"/>
    </row>
    <row r="20" spans="1:15" x14ac:dyDescent="0.2">
      <c r="A20" s="1182" t="s">
        <v>525</v>
      </c>
      <c r="B20" s="1184"/>
      <c r="C20" s="1183"/>
      <c r="D20" s="1184"/>
      <c r="E20" s="1184"/>
      <c r="F20" s="1184"/>
      <c r="G20" s="1184"/>
      <c r="H20" s="1184"/>
      <c r="I20" s="1184"/>
      <c r="J20" s="1184"/>
      <c r="K20" s="1184"/>
      <c r="L20" s="1184"/>
      <c r="M20" s="1184"/>
      <c r="N20" s="1184"/>
      <c r="O20" s="1248"/>
    </row>
    <row r="21" spans="1:15" x14ac:dyDescent="0.2">
      <c r="A21" s="1249"/>
      <c r="B21" s="1183" t="s">
        <v>526</v>
      </c>
      <c r="C21" s="1220"/>
      <c r="D21" s="1184"/>
      <c r="E21" s="1184"/>
      <c r="F21" s="1184"/>
      <c r="G21" s="1184"/>
      <c r="H21" s="1250"/>
      <c r="I21" s="1183" t="s">
        <v>527</v>
      </c>
      <c r="J21" s="1184"/>
      <c r="K21" s="1183"/>
      <c r="L21" s="1184"/>
      <c r="M21" s="1251" t="s">
        <v>528</v>
      </c>
      <c r="N21" s="1188"/>
      <c r="O21" s="1252"/>
    </row>
    <row r="22" spans="1:15" x14ac:dyDescent="0.2">
      <c r="A22" s="1253" t="s">
        <v>529</v>
      </c>
      <c r="B22" s="1202"/>
      <c r="C22" s="1254"/>
      <c r="D22" s="1255" t="s">
        <v>530</v>
      </c>
      <c r="E22" s="1202"/>
      <c r="F22" s="1204"/>
      <c r="G22" s="1204"/>
      <c r="H22" s="1256" t="s">
        <v>531</v>
      </c>
      <c r="I22" s="1184"/>
      <c r="J22" s="1184"/>
      <c r="K22" s="1257" t="s">
        <v>532</v>
      </c>
      <c r="L22" s="1184"/>
      <c r="M22" s="1258" t="s">
        <v>533</v>
      </c>
      <c r="N22" s="1259" t="s">
        <v>524</v>
      </c>
      <c r="O22" s="1260"/>
    </row>
    <row r="23" spans="1:15" x14ac:dyDescent="0.2">
      <c r="A23" s="1218" t="s">
        <v>512</v>
      </c>
      <c r="B23" s="1255" t="s">
        <v>4</v>
      </c>
      <c r="C23" s="1202"/>
      <c r="D23" s="1255" t="s">
        <v>512</v>
      </c>
      <c r="E23" s="1202"/>
      <c r="F23" s="1261" t="s">
        <v>4</v>
      </c>
      <c r="G23" s="1204"/>
      <c r="H23" s="2159" t="s">
        <v>512</v>
      </c>
      <c r="I23" s="2160"/>
      <c r="J23" s="1261" t="s">
        <v>4</v>
      </c>
      <c r="K23" s="1261" t="s">
        <v>512</v>
      </c>
      <c r="L23" s="1261" t="s">
        <v>4</v>
      </c>
      <c r="M23" s="1262" t="s">
        <v>512</v>
      </c>
      <c r="N23" s="1263" t="s">
        <v>522</v>
      </c>
      <c r="O23" s="1264" t="s">
        <v>534</v>
      </c>
    </row>
    <row r="24" spans="1:15" x14ac:dyDescent="0.2">
      <c r="A24" s="1265"/>
      <c r="B24" s="1266"/>
      <c r="C24" s="1179"/>
      <c r="D24" s="1267"/>
      <c r="E24" s="1268"/>
      <c r="F24" s="1266"/>
      <c r="G24" s="1179"/>
      <c r="H24" s="1269"/>
      <c r="I24" s="1270"/>
      <c r="J24" s="1271"/>
      <c r="K24" s="1266"/>
      <c r="L24" s="1271"/>
      <c r="M24" s="1272"/>
      <c r="N24" s="1273"/>
      <c r="O24" s="1274"/>
    </row>
    <row r="25" spans="1:15" x14ac:dyDescent="0.2">
      <c r="A25" s="1265"/>
      <c r="B25" s="1266"/>
      <c r="C25" s="1179"/>
      <c r="D25" s="1267"/>
      <c r="E25" s="1268"/>
      <c r="F25" s="1266"/>
      <c r="G25" s="1179"/>
      <c r="H25" s="1269"/>
      <c r="I25" s="1270"/>
      <c r="J25" s="1271"/>
      <c r="K25" s="1266"/>
      <c r="L25" s="1271"/>
      <c r="M25" s="1272"/>
      <c r="N25" s="1273"/>
      <c r="O25" s="1274"/>
    </row>
    <row r="26" spans="1:15" x14ac:dyDescent="0.2">
      <c r="A26" s="1275"/>
      <c r="B26" s="1219"/>
      <c r="C26" s="1220"/>
      <c r="D26" s="1276"/>
      <c r="E26" s="1277"/>
      <c r="F26" s="1219"/>
      <c r="G26" s="1220"/>
      <c r="H26" s="1269"/>
      <c r="I26" s="1223"/>
      <c r="J26" s="1278"/>
      <c r="K26" s="1219"/>
      <c r="L26" s="1278"/>
      <c r="M26" s="1279"/>
      <c r="N26" s="1204"/>
      <c r="O26" s="1280"/>
    </row>
    <row r="27" spans="1:15" ht="15.75" thickBot="1" x14ac:dyDescent="0.25">
      <c r="A27" s="1417"/>
      <c r="B27" s="1418"/>
      <c r="C27" s="1418"/>
      <c r="D27" s="1418"/>
      <c r="E27" s="1418"/>
      <c r="F27" s="1418"/>
      <c r="G27" s="1418"/>
      <c r="H27" s="1419"/>
      <c r="I27" s="1418"/>
      <c r="J27" s="1418"/>
      <c r="K27" s="1418"/>
      <c r="L27" s="1281" t="s">
        <v>535</v>
      </c>
      <c r="M27" s="1282"/>
      <c r="N27" s="1283"/>
      <c r="O27" s="1284"/>
    </row>
    <row r="28" spans="1:15" ht="15.75" thickTop="1" x14ac:dyDescent="0.2">
      <c r="A28" s="1170"/>
      <c r="B28" s="1171"/>
      <c r="C28" s="1172"/>
      <c r="D28" s="1172"/>
      <c r="E28" s="1172"/>
      <c r="F28" s="1172"/>
      <c r="G28" s="1172"/>
      <c r="H28" s="1040"/>
      <c r="I28" s="1171"/>
      <c r="J28" s="1178"/>
      <c r="K28" s="1199"/>
      <c r="L28" s="1178"/>
      <c r="M28" s="1199"/>
      <c r="N28" s="1171"/>
      <c r="O28" s="1173"/>
    </row>
    <row r="29" spans="1:15" x14ac:dyDescent="0.2">
      <c r="A29" s="1177" t="s">
        <v>536</v>
      </c>
      <c r="B29" s="1171"/>
      <c r="C29" s="1220"/>
      <c r="D29" s="1172"/>
      <c r="E29" s="1172"/>
      <c r="F29" s="1172"/>
      <c r="G29" s="1172"/>
      <c r="H29" s="1172"/>
      <c r="I29" s="1172"/>
      <c r="J29" s="1172"/>
      <c r="K29" s="1172"/>
      <c r="L29" s="1172"/>
      <c r="M29" s="1172"/>
      <c r="N29" s="1172"/>
      <c r="O29" s="1173"/>
    </row>
    <row r="30" spans="1:15" x14ac:dyDescent="0.2">
      <c r="A30" s="1182" t="s">
        <v>537</v>
      </c>
      <c r="B30" s="1183"/>
      <c r="C30" s="1220"/>
      <c r="D30" s="1184"/>
      <c r="E30" s="1184"/>
      <c r="F30" s="1184"/>
      <c r="G30" s="1285"/>
      <c r="H30" s="1171"/>
      <c r="I30" s="1172"/>
      <c r="J30" s="1257" t="s">
        <v>538</v>
      </c>
      <c r="K30" s="1286"/>
      <c r="L30" s="1184"/>
      <c r="M30" s="1184"/>
      <c r="N30" s="1184"/>
      <c r="O30" s="1287"/>
    </row>
    <row r="31" spans="1:15" x14ac:dyDescent="0.2">
      <c r="A31" s="1253" t="s">
        <v>539</v>
      </c>
      <c r="B31" s="1202"/>
      <c r="C31" s="1288"/>
      <c r="D31" s="1174" t="s">
        <v>540</v>
      </c>
      <c r="E31" s="1172"/>
      <c r="F31" s="1079" t="s">
        <v>541</v>
      </c>
      <c r="G31" s="1289"/>
      <c r="H31" s="1171"/>
      <c r="I31" s="1172"/>
      <c r="J31" s="1257" t="s">
        <v>542</v>
      </c>
      <c r="K31" s="1184"/>
      <c r="L31" s="1184"/>
      <c r="M31" s="1184"/>
      <c r="N31" s="1184"/>
      <c r="O31" s="1290" t="s">
        <v>543</v>
      </c>
    </row>
    <row r="32" spans="1:15" x14ac:dyDescent="0.2">
      <c r="A32" s="1218" t="s">
        <v>522</v>
      </c>
      <c r="B32" s="1291" t="s">
        <v>544</v>
      </c>
      <c r="C32" s="1292"/>
      <c r="D32" s="1293" t="s">
        <v>414</v>
      </c>
      <c r="E32" s="1202"/>
      <c r="F32" s="1294" t="s">
        <v>545</v>
      </c>
      <c r="G32" s="1223"/>
      <c r="H32" s="1199"/>
      <c r="I32" s="1172"/>
      <c r="J32" s="1294" t="s">
        <v>546</v>
      </c>
      <c r="K32" s="1220"/>
      <c r="L32" s="1295"/>
      <c r="M32" s="1296"/>
      <c r="N32" s="1296"/>
      <c r="O32" s="1297"/>
    </row>
    <row r="33" spans="1:15" x14ac:dyDescent="0.2">
      <c r="A33" s="1298">
        <v>0</v>
      </c>
      <c r="B33" s="1420"/>
      <c r="C33" s="1421"/>
      <c r="D33" s="1299"/>
      <c r="E33" s="1300" t="s">
        <v>547</v>
      </c>
      <c r="F33" s="1301">
        <f>A33*D33</f>
        <v>0</v>
      </c>
      <c r="G33" s="1212"/>
      <c r="H33" s="1199"/>
      <c r="I33" s="1172"/>
      <c r="J33" s="1187" t="s">
        <v>5</v>
      </c>
      <c r="K33" s="1187" t="s">
        <v>5</v>
      </c>
      <c r="L33" s="1187" t="s">
        <v>548</v>
      </c>
      <c r="M33" s="1302" t="s">
        <v>5</v>
      </c>
      <c r="N33" s="1302" t="s">
        <v>549</v>
      </c>
      <c r="O33" s="1055" t="s">
        <v>550</v>
      </c>
    </row>
    <row r="34" spans="1:15" x14ac:dyDescent="0.2">
      <c r="A34" s="1303">
        <v>0</v>
      </c>
      <c r="B34" s="1304" t="s">
        <v>551</v>
      </c>
      <c r="C34" s="1305"/>
      <c r="D34" s="1306"/>
      <c r="E34" s="1307" t="s">
        <v>547</v>
      </c>
      <c r="F34" s="1308">
        <f>A34*D34</f>
        <v>0</v>
      </c>
      <c r="G34" s="1270"/>
      <c r="H34" s="1171"/>
      <c r="I34" s="1172"/>
      <c r="J34" s="1206" t="s">
        <v>552</v>
      </c>
      <c r="K34" s="1206" t="s">
        <v>553</v>
      </c>
      <c r="L34" s="1206" t="s">
        <v>554</v>
      </c>
      <c r="M34" s="1263" t="s">
        <v>534</v>
      </c>
      <c r="N34" s="1263" t="s">
        <v>414</v>
      </c>
      <c r="O34" s="1309" t="s">
        <v>545</v>
      </c>
    </row>
    <row r="35" spans="1:15" x14ac:dyDescent="0.2">
      <c r="A35" s="1422"/>
      <c r="B35" s="1310">
        <v>0</v>
      </c>
      <c r="C35" s="1311" t="s">
        <v>555</v>
      </c>
      <c r="D35" s="1312"/>
      <c r="E35" s="1313" t="s">
        <v>556</v>
      </c>
      <c r="F35" s="1314">
        <f>B35*D35</f>
        <v>0</v>
      </c>
      <c r="G35" s="1311"/>
      <c r="H35" s="1171"/>
      <c r="I35" s="1172"/>
      <c r="J35" s="1315"/>
      <c r="K35" s="1316"/>
      <c r="L35" s="1317"/>
      <c r="M35" s="1318"/>
      <c r="N35" s="1319"/>
      <c r="O35" s="1320"/>
    </row>
    <row r="36" spans="1:15" x14ac:dyDescent="0.2">
      <c r="A36" s="1321" t="s">
        <v>551</v>
      </c>
      <c r="B36" s="1322">
        <v>0</v>
      </c>
      <c r="C36" s="1220" t="s">
        <v>555</v>
      </c>
      <c r="D36" s="1323"/>
      <c r="E36" s="1324" t="s">
        <v>556</v>
      </c>
      <c r="F36" s="1325">
        <f>B36*D36</f>
        <v>0</v>
      </c>
      <c r="G36" s="1223"/>
      <c r="H36" s="1171"/>
      <c r="I36" s="1172"/>
      <c r="J36" s="1224">
        <f>M27</f>
        <v>0</v>
      </c>
      <c r="K36" s="1326" t="s">
        <v>557</v>
      </c>
      <c r="L36" s="1224"/>
      <c r="M36" s="1226">
        <f>J36-L36</f>
        <v>0</v>
      </c>
      <c r="N36" s="1327"/>
      <c r="O36" s="1328">
        <f>M36*N36</f>
        <v>0</v>
      </c>
    </row>
    <row r="37" spans="1:15" ht="15.75" thickBot="1" x14ac:dyDescent="0.25">
      <c r="A37" s="1423"/>
      <c r="B37" s="1424"/>
      <c r="C37" s="1424"/>
      <c r="D37" s="1329" t="s">
        <v>558</v>
      </c>
      <c r="E37" s="1330"/>
      <c r="F37" s="1331">
        <f>SUM(F33:F36)</f>
        <v>0</v>
      </c>
      <c r="G37" s="1332"/>
      <c r="H37" s="1241"/>
      <c r="I37" s="1241"/>
      <c r="J37" s="1425"/>
      <c r="K37" s="1424"/>
      <c r="L37" s="1424"/>
      <c r="M37" s="1329" t="s">
        <v>559</v>
      </c>
      <c r="N37" s="1241"/>
      <c r="O37" s="1333">
        <f>SUM(O35:O36)</f>
        <v>0</v>
      </c>
    </row>
    <row r="38" spans="1:15" ht="15.75" thickTop="1" x14ac:dyDescent="0.2">
      <c r="A38" s="1170"/>
      <c r="B38" s="1171"/>
      <c r="C38" s="1172"/>
      <c r="D38" s="1040"/>
      <c r="E38" s="1171"/>
      <c r="F38" s="1334"/>
      <c r="G38" s="1171"/>
      <c r="H38" s="1172"/>
      <c r="I38" s="1172"/>
      <c r="J38" s="1172"/>
      <c r="K38" s="1172"/>
      <c r="L38" s="1172"/>
      <c r="M38" s="1172"/>
      <c r="N38" s="1172"/>
      <c r="O38" s="1173"/>
    </row>
    <row r="39" spans="1:15" x14ac:dyDescent="0.2">
      <c r="A39" s="1177" t="s">
        <v>560</v>
      </c>
      <c r="B39" s="1040"/>
      <c r="C39" s="1220"/>
      <c r="D39" s="1172"/>
      <c r="E39" s="1172"/>
      <c r="F39" s="1335"/>
      <c r="G39" s="1172"/>
      <c r="H39" s="1172"/>
      <c r="I39" s="1172"/>
      <c r="J39" s="1172"/>
      <c r="K39" s="1220"/>
      <c r="L39" s="1172"/>
      <c r="M39" s="1172"/>
      <c r="N39" s="1172"/>
      <c r="O39" s="1173"/>
    </row>
    <row r="40" spans="1:15" x14ac:dyDescent="0.2">
      <c r="A40" s="1336" t="s">
        <v>42</v>
      </c>
      <c r="B40" s="1337" t="s">
        <v>561</v>
      </c>
      <c r="C40" s="1338"/>
      <c r="D40" s="1339" t="s">
        <v>562</v>
      </c>
      <c r="E40" s="1194"/>
      <c r="F40" s="1185"/>
      <c r="G40" s="1340"/>
      <c r="H40" s="1337"/>
      <c r="I40" s="1340"/>
      <c r="J40" s="1341" t="s">
        <v>49</v>
      </c>
      <c r="K40" s="1342" t="s">
        <v>563</v>
      </c>
      <c r="L40" s="1341" t="s">
        <v>414</v>
      </c>
      <c r="M40" s="2161" t="s">
        <v>564</v>
      </c>
      <c r="N40" s="2052"/>
      <c r="O40" s="1343" t="s">
        <v>6</v>
      </c>
    </row>
    <row r="41" spans="1:15" x14ac:dyDescent="0.2">
      <c r="A41" s="1218" t="s">
        <v>43</v>
      </c>
      <c r="B41" s="1255" t="s">
        <v>565</v>
      </c>
      <c r="C41" s="1202"/>
      <c r="D41" s="1255" t="s">
        <v>565</v>
      </c>
      <c r="E41" s="1202"/>
      <c r="F41" s="1255" t="s">
        <v>566</v>
      </c>
      <c r="G41" s="1202"/>
      <c r="H41" s="1136" t="s">
        <v>5</v>
      </c>
      <c r="I41" s="1293" t="s">
        <v>543</v>
      </c>
      <c r="J41" s="1261" t="s">
        <v>12</v>
      </c>
      <c r="K41" s="1255" t="s">
        <v>567</v>
      </c>
      <c r="L41" s="1261" t="s">
        <v>568</v>
      </c>
      <c r="M41" s="1261" t="s">
        <v>303</v>
      </c>
      <c r="N41" s="1261" t="s">
        <v>569</v>
      </c>
      <c r="O41" s="1309" t="s">
        <v>570</v>
      </c>
    </row>
    <row r="42" spans="1:15" x14ac:dyDescent="0.2">
      <c r="A42" s="1344" t="s">
        <v>571</v>
      </c>
      <c r="B42" s="1188"/>
      <c r="C42" s="1338"/>
      <c r="D42" s="1188"/>
      <c r="E42" s="1338"/>
      <c r="F42" s="1188"/>
      <c r="G42" s="1338"/>
      <c r="H42" s="1345"/>
      <c r="I42" s="1338"/>
      <c r="J42" s="1198"/>
      <c r="K42" s="1198"/>
      <c r="L42" s="1346"/>
      <c r="M42" s="1347"/>
      <c r="N42" s="1188"/>
      <c r="O42" s="1348"/>
    </row>
    <row r="43" spans="1:15" x14ac:dyDescent="0.2">
      <c r="A43" s="1349" t="s">
        <v>572</v>
      </c>
      <c r="B43" s="1350"/>
      <c r="C43" s="1179" t="s">
        <v>543</v>
      </c>
      <c r="D43" s="1350"/>
      <c r="E43" s="1179" t="s">
        <v>543</v>
      </c>
      <c r="F43" s="1350"/>
      <c r="G43" s="1179" t="s">
        <v>543</v>
      </c>
      <c r="H43" s="1351">
        <f>B43+D43+F43</f>
        <v>0</v>
      </c>
      <c r="I43" s="1179" t="s">
        <v>543</v>
      </c>
      <c r="J43" s="1267" t="s">
        <v>573</v>
      </c>
      <c r="K43" s="1267"/>
      <c r="L43" s="1352"/>
      <c r="M43" s="1353">
        <v>0.14000000000000001</v>
      </c>
      <c r="N43" s="1354"/>
      <c r="O43" s="1355">
        <f>H43*L43/100+N43/(1+M43)</f>
        <v>0</v>
      </c>
    </row>
    <row r="44" spans="1:15" x14ac:dyDescent="0.2">
      <c r="A44" s="1356"/>
      <c r="B44" s="1222"/>
      <c r="C44" s="1220"/>
      <c r="D44" s="1222"/>
      <c r="E44" s="1220"/>
      <c r="F44" s="1222"/>
      <c r="G44" s="1220"/>
      <c r="H44" s="1357"/>
      <c r="I44" s="1220"/>
      <c r="J44" s="1205" t="s">
        <v>574</v>
      </c>
      <c r="K44" s="1205"/>
      <c r="L44" s="1358"/>
      <c r="M44" s="1359"/>
      <c r="N44" s="1360">
        <f>N43/1.14</f>
        <v>0</v>
      </c>
      <c r="O44" s="1361"/>
    </row>
    <row r="45" spans="1:15" ht="15.75" thickBot="1" x14ac:dyDescent="0.25">
      <c r="A45" s="1423"/>
      <c r="B45" s="1424"/>
      <c r="C45" s="1424"/>
      <c r="D45" s="1424"/>
      <c r="E45" s="1424"/>
      <c r="F45" s="1424"/>
      <c r="G45" s="1424"/>
      <c r="H45" s="1426"/>
      <c r="I45" s="1424"/>
      <c r="J45" s="1424"/>
      <c r="K45" s="1427"/>
      <c r="L45" s="1418"/>
      <c r="M45" s="1329" t="s">
        <v>575</v>
      </c>
      <c r="N45" s="1330"/>
      <c r="O45" s="1362">
        <f>SUM(O42:O44)</f>
        <v>0</v>
      </c>
    </row>
    <row r="46" spans="1:15" ht="15.75" thickTop="1" x14ac:dyDescent="0.2">
      <c r="A46" s="1170"/>
      <c r="B46" s="1171"/>
      <c r="C46" s="1171"/>
      <c r="D46" s="1171"/>
      <c r="E46" s="1171"/>
      <c r="F46" s="1171"/>
      <c r="G46" s="1171"/>
      <c r="H46" s="1171"/>
      <c r="I46" s="1171"/>
      <c r="J46" s="1171"/>
      <c r="K46" s="1171"/>
      <c r="L46" s="1171"/>
      <c r="M46" s="1171"/>
      <c r="N46" s="1171"/>
      <c r="O46" s="1173"/>
    </row>
    <row r="47" spans="1:15" ht="15.75" thickBot="1" x14ac:dyDescent="0.25">
      <c r="A47" s="1363" t="s">
        <v>576</v>
      </c>
      <c r="B47" s="1364"/>
      <c r="C47" s="1365"/>
      <c r="D47" s="1365"/>
      <c r="E47" s="1365"/>
      <c r="F47" s="1365"/>
      <c r="G47" s="1365"/>
      <c r="H47" s="1365"/>
      <c r="I47" s="1365"/>
      <c r="J47" s="1365"/>
      <c r="K47" s="1365"/>
      <c r="L47" s="1365"/>
      <c r="M47" s="1365"/>
      <c r="N47" s="1241"/>
      <c r="O47" s="1173"/>
    </row>
    <row r="48" spans="1:15" ht="16.5" thickTop="1" thickBot="1" x14ac:dyDescent="0.25">
      <c r="A48" s="1366" t="s">
        <v>4</v>
      </c>
      <c r="B48" s="1367"/>
      <c r="C48" s="1367"/>
      <c r="D48" s="2162" t="s">
        <v>577</v>
      </c>
      <c r="E48" s="2163"/>
      <c r="F48" s="2164"/>
      <c r="G48" s="1368"/>
      <c r="H48" s="1369" t="s">
        <v>578</v>
      </c>
      <c r="I48" s="1368"/>
      <c r="J48" s="1370"/>
      <c r="K48" s="1371"/>
      <c r="L48" s="2162" t="s">
        <v>53</v>
      </c>
      <c r="M48" s="2165"/>
      <c r="N48" s="2166"/>
      <c r="O48" s="1372" t="s">
        <v>6</v>
      </c>
    </row>
    <row r="49" spans="1:15" x14ac:dyDescent="0.2">
      <c r="A49" s="1373"/>
      <c r="B49" s="1374"/>
      <c r="C49" s="1374"/>
      <c r="D49" s="1375" t="s">
        <v>360</v>
      </c>
      <c r="E49" s="1374"/>
      <c r="F49" s="1376"/>
      <c r="G49" s="1377"/>
      <c r="H49" s="1378"/>
      <c r="I49" s="1378"/>
      <c r="J49" s="1378"/>
      <c r="K49" s="1379"/>
      <c r="L49" s="1377"/>
      <c r="M49" s="1380"/>
      <c r="N49" s="1381"/>
      <c r="O49" s="1382">
        <v>0</v>
      </c>
    </row>
    <row r="50" spans="1:15" ht="15.75" thickBot="1" x14ac:dyDescent="0.25">
      <c r="A50" s="1383"/>
      <c r="B50" s="1384"/>
      <c r="C50" s="1365"/>
      <c r="D50" s="1385"/>
      <c r="E50" s="1365"/>
      <c r="F50" s="1386"/>
      <c r="G50" s="1385"/>
      <c r="H50" s="1365"/>
      <c r="I50" s="1365"/>
      <c r="J50" s="1365"/>
      <c r="K50" s="1386"/>
      <c r="L50" s="1387"/>
      <c r="M50" s="1330"/>
      <c r="N50" s="1332"/>
      <c r="O50" s="1388"/>
    </row>
    <row r="51" spans="1:15" ht="15.75" thickTop="1" x14ac:dyDescent="0.2">
      <c r="A51" s="1170"/>
      <c r="B51" s="1171"/>
      <c r="C51" s="1171"/>
      <c r="D51" s="1171"/>
      <c r="E51" s="1171"/>
      <c r="F51" s="1171"/>
      <c r="G51" s="1171"/>
      <c r="H51" s="1171"/>
      <c r="I51" s="1171"/>
      <c r="J51" s="1171"/>
      <c r="K51" s="1171"/>
      <c r="L51" s="1171"/>
      <c r="M51" s="1171"/>
      <c r="N51" s="1171"/>
      <c r="O51" s="1173"/>
    </row>
    <row r="52" spans="1:15" x14ac:dyDescent="0.2">
      <c r="A52" s="1389" t="s">
        <v>579</v>
      </c>
      <c r="B52" s="1220"/>
      <c r="C52" s="1220"/>
      <c r="D52" s="1220"/>
      <c r="E52" s="1220"/>
      <c r="F52" s="1220"/>
      <c r="G52" s="1220"/>
      <c r="H52" s="1220"/>
      <c r="I52" s="1220"/>
      <c r="J52" s="1220"/>
      <c r="K52" s="1220"/>
      <c r="L52" s="1220"/>
      <c r="M52" s="1220"/>
      <c r="N52" s="1220"/>
      <c r="O52" s="1390"/>
    </row>
    <row r="53" spans="1:15" x14ac:dyDescent="0.2">
      <c r="A53" s="1253" t="s">
        <v>4</v>
      </c>
      <c r="B53" s="1293"/>
      <c r="C53" s="1202"/>
      <c r="D53" s="1222"/>
      <c r="E53" s="1295" t="s">
        <v>580</v>
      </c>
      <c r="F53" s="1220"/>
      <c r="G53" s="1220"/>
      <c r="H53" s="1220"/>
      <c r="I53" s="1220"/>
      <c r="J53" s="1222"/>
      <c r="K53" s="1295" t="s">
        <v>53</v>
      </c>
      <c r="L53" s="1220"/>
      <c r="M53" s="1220"/>
      <c r="N53" s="1391" t="s">
        <v>5</v>
      </c>
      <c r="O53" s="1309" t="s">
        <v>6</v>
      </c>
    </row>
    <row r="54" spans="1:15" x14ac:dyDescent="0.2">
      <c r="A54" s="1170"/>
      <c r="B54" s="1172"/>
      <c r="C54" s="1172"/>
      <c r="D54" s="1196"/>
      <c r="E54" s="1172"/>
      <c r="F54" s="1172"/>
      <c r="G54" s="1392"/>
      <c r="H54" s="1172"/>
      <c r="I54" s="1172"/>
      <c r="J54" s="1196"/>
      <c r="K54" s="1172"/>
      <c r="L54" s="1172"/>
      <c r="M54" s="1172"/>
      <c r="N54" s="1359"/>
      <c r="O54" s="1393"/>
    </row>
    <row r="55" spans="1:15" x14ac:dyDescent="0.2">
      <c r="A55" s="1394"/>
      <c r="B55" s="1202"/>
      <c r="C55" s="1202"/>
      <c r="D55" s="1201"/>
      <c r="E55" s="1254"/>
      <c r="F55" s="1254"/>
      <c r="G55" s="1254"/>
      <c r="H55" s="1254"/>
      <c r="I55" s="1254"/>
      <c r="J55" s="1205"/>
      <c r="K55" s="1254"/>
      <c r="L55" s="1220"/>
      <c r="M55" s="1220"/>
      <c r="N55" s="1263">
        <v>4</v>
      </c>
      <c r="O55" s="1395">
        <v>0</v>
      </c>
    </row>
    <row r="56" spans="1:15" x14ac:dyDescent="0.2">
      <c r="A56" s="1396" t="s">
        <v>581</v>
      </c>
      <c r="B56" s="1397"/>
      <c r="C56" s="1220"/>
      <c r="D56" s="1196"/>
      <c r="E56" s="1398"/>
      <c r="F56" s="1398"/>
      <c r="G56" s="1195"/>
      <c r="H56" s="1195"/>
      <c r="I56" s="1195"/>
      <c r="J56" s="1188"/>
      <c r="K56" s="1195"/>
      <c r="L56" s="1195"/>
      <c r="M56" s="1338"/>
      <c r="N56" s="1347"/>
      <c r="O56" s="1343" t="s">
        <v>582</v>
      </c>
    </row>
    <row r="57" spans="1:15" x14ac:dyDescent="0.2">
      <c r="A57" s="1218" t="s">
        <v>583</v>
      </c>
      <c r="B57" s="1255" t="s">
        <v>518</v>
      </c>
      <c r="C57" s="1202"/>
      <c r="D57" s="1255" t="s">
        <v>526</v>
      </c>
      <c r="E57" s="1202"/>
      <c r="F57" s="1202"/>
      <c r="G57" s="1202"/>
      <c r="H57" s="1202"/>
      <c r="I57" s="1202"/>
      <c r="J57" s="1294" t="s">
        <v>584</v>
      </c>
      <c r="K57" s="1399"/>
      <c r="L57" s="1399"/>
      <c r="M57" s="1399"/>
      <c r="N57" s="1263" t="s">
        <v>5</v>
      </c>
      <c r="O57" s="1309" t="s">
        <v>585</v>
      </c>
    </row>
    <row r="58" spans="1:15" x14ac:dyDescent="0.2">
      <c r="A58" s="1303"/>
      <c r="B58" s="1400"/>
      <c r="C58" s="1401"/>
      <c r="D58" s="1350"/>
      <c r="E58" s="1179"/>
      <c r="F58" s="1179"/>
      <c r="G58" s="1179"/>
      <c r="H58" s="1179"/>
      <c r="I58" s="1179"/>
      <c r="J58" s="1350"/>
      <c r="K58" s="1179"/>
      <c r="L58" s="1179"/>
      <c r="M58" s="1179"/>
      <c r="N58" s="1402" t="s">
        <v>586</v>
      </c>
      <c r="O58" s="1403">
        <v>0</v>
      </c>
    </row>
    <row r="59" spans="1:15" x14ac:dyDescent="0.2">
      <c r="A59" s="1404"/>
      <c r="B59" s="1203"/>
      <c r="C59" s="1202"/>
      <c r="D59" s="1405" t="s">
        <v>587</v>
      </c>
      <c r="E59" s="1406" t="s">
        <v>588</v>
      </c>
      <c r="F59" s="1254"/>
      <c r="G59" s="1254"/>
      <c r="H59" s="1254"/>
      <c r="I59" s="1254"/>
      <c r="J59" s="1201" t="s">
        <v>589</v>
      </c>
      <c r="K59" s="1254"/>
      <c r="L59" s="1254"/>
      <c r="M59" s="1254"/>
      <c r="N59" s="1206" t="s">
        <v>590</v>
      </c>
      <c r="O59" s="1407">
        <v>0</v>
      </c>
    </row>
    <row r="60" spans="1:15" x14ac:dyDescent="0.2">
      <c r="A60" s="1428"/>
      <c r="B60" s="1429"/>
      <c r="C60" s="1430"/>
      <c r="D60" s="1430"/>
      <c r="E60" s="1430"/>
      <c r="F60" s="1430"/>
      <c r="G60" s="1430"/>
      <c r="H60" s="1430"/>
      <c r="I60" s="1430"/>
      <c r="J60" s="1408" t="s">
        <v>591</v>
      </c>
      <c r="K60" s="1184"/>
      <c r="L60" s="1184"/>
      <c r="M60" s="1184"/>
      <c r="N60" s="1391" t="s">
        <v>590</v>
      </c>
      <c r="O60" s="1409">
        <f>O59</f>
        <v>0</v>
      </c>
    </row>
    <row r="61" spans="1:15" ht="15.75" thickBot="1" x14ac:dyDescent="0.25">
      <c r="A61" s="1423"/>
      <c r="B61" s="1424"/>
      <c r="C61" s="1424"/>
      <c r="D61" s="1424"/>
      <c r="E61" s="1424"/>
      <c r="F61" s="1424"/>
      <c r="G61" s="1424"/>
      <c r="H61" s="1424"/>
      <c r="I61" s="1431"/>
      <c r="J61" s="1410" t="s">
        <v>592</v>
      </c>
      <c r="K61" s="1241"/>
      <c r="L61" s="1241"/>
      <c r="M61" s="1241"/>
      <c r="N61" s="1241"/>
      <c r="O61" s="1411">
        <f>O58+O55+O45+O37+F37</f>
        <v>0</v>
      </c>
    </row>
    <row r="62" spans="1:15" ht="15.75" thickTop="1" x14ac:dyDescent="0.2"/>
    <row r="63" spans="1:15" ht="15" customHeight="1" x14ac:dyDescent="0.2">
      <c r="A63" s="1412" t="s">
        <v>593</v>
      </c>
      <c r="B63" s="2150" t="s">
        <v>594</v>
      </c>
      <c r="C63" s="2151"/>
      <c r="D63" s="2151"/>
      <c r="E63" s="2151"/>
      <c r="F63" s="2151"/>
      <c r="G63" s="2151"/>
      <c r="H63" s="2151"/>
      <c r="I63" s="2151"/>
      <c r="J63" s="2151"/>
      <c r="K63" s="2151"/>
      <c r="L63" s="2151"/>
      <c r="M63" s="2151"/>
      <c r="N63" s="2151"/>
      <c r="O63" s="2151"/>
    </row>
    <row r="64" spans="1:15" x14ac:dyDescent="0.2">
      <c r="A64" s="1413"/>
      <c r="B64" s="1414"/>
      <c r="J64" s="1008"/>
    </row>
    <row r="65" spans="1:15" ht="56.25" customHeight="1" x14ac:dyDescent="0.2">
      <c r="A65" s="1413"/>
      <c r="B65" s="2150" t="s">
        <v>595</v>
      </c>
      <c r="C65" s="2151"/>
      <c r="D65" s="2151"/>
      <c r="E65" s="2151"/>
      <c r="F65" s="2151"/>
      <c r="G65" s="2151"/>
      <c r="H65" s="2151"/>
      <c r="I65" s="2151"/>
      <c r="J65" s="2151"/>
      <c r="K65" s="2151"/>
      <c r="L65" s="2151"/>
      <c r="M65" s="2151"/>
      <c r="N65" s="2151"/>
      <c r="O65" s="2151"/>
    </row>
  </sheetData>
  <mergeCells count="10">
    <mergeCell ref="B65:O65"/>
    <mergeCell ref="N5:O5"/>
    <mergeCell ref="B12:C12"/>
    <mergeCell ref="H12:I12"/>
    <mergeCell ref="D13:E13"/>
    <mergeCell ref="H23:I23"/>
    <mergeCell ref="M40:N40"/>
    <mergeCell ref="D48:F48"/>
    <mergeCell ref="L48:N48"/>
    <mergeCell ref="B63:O63"/>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J65"/>
  <sheetViews>
    <sheetView zoomScale="75" zoomScaleNormal="75" zoomScaleSheetLayoutView="90" workbookViewId="0">
      <selection activeCell="F3" sqref="F3"/>
    </sheetView>
  </sheetViews>
  <sheetFormatPr defaultRowHeight="15" x14ac:dyDescent="0.2"/>
  <cols>
    <col min="1" max="1" width="5.33203125" customWidth="1"/>
    <col min="2" max="2" width="9.5546875" customWidth="1"/>
    <col min="3" max="3" width="10.77734375" customWidth="1"/>
    <col min="8" max="8" width="10" customWidth="1"/>
    <col min="9" max="9" width="11.44140625" customWidth="1"/>
    <col min="10" max="10" width="13" customWidth="1"/>
  </cols>
  <sheetData>
    <row r="1" spans="1:10" ht="22.5" customHeight="1" thickTop="1" x14ac:dyDescent="0.2">
      <c r="A1" s="1580" t="s">
        <v>55</v>
      </c>
      <c r="B1" s="990"/>
      <c r="C1" s="219"/>
      <c r="D1" s="219"/>
      <c r="E1" s="219"/>
      <c r="F1" s="219"/>
      <c r="G1" s="219"/>
      <c r="H1" s="219"/>
      <c r="I1" s="219"/>
      <c r="J1" s="220"/>
    </row>
    <row r="2" spans="1:10" ht="21.75" customHeight="1" x14ac:dyDescent="0.2">
      <c r="A2" s="246" t="s">
        <v>189</v>
      </c>
      <c r="B2" s="485"/>
      <c r="C2" s="158"/>
      <c r="D2" s="158"/>
      <c r="E2" s="124"/>
      <c r="F2" s="262" t="s">
        <v>194</v>
      </c>
      <c r="G2" s="158"/>
      <c r="H2" s="158"/>
      <c r="I2" s="158"/>
      <c r="J2" s="235"/>
    </row>
    <row r="3" spans="1:10" ht="15.75" x14ac:dyDescent="0.2">
      <c r="A3" s="1576"/>
      <c r="B3" s="1577" t="s">
        <v>310</v>
      </c>
      <c r="C3" s="1723">
        <f>'Input Data'!D29</f>
        <v>0</v>
      </c>
      <c r="D3" s="226"/>
      <c r="E3" s="203" t="s">
        <v>251</v>
      </c>
      <c r="F3" s="1026">
        <f>'Input Data'!D6</f>
        <v>0</v>
      </c>
      <c r="G3" s="124"/>
      <c r="H3" s="124"/>
      <c r="I3" s="124"/>
      <c r="J3" s="130"/>
    </row>
    <row r="4" spans="1:10" ht="15.75" thickBot="1" x14ac:dyDescent="0.25">
      <c r="A4" s="197"/>
      <c r="B4" s="139"/>
      <c r="C4" s="139"/>
      <c r="D4" s="139"/>
      <c r="E4" s="139"/>
      <c r="F4" s="139"/>
      <c r="G4" s="139"/>
      <c r="H4" s="139"/>
      <c r="I4" s="139"/>
      <c r="J4" s="198"/>
    </row>
    <row r="5" spans="1:10" ht="15.75" thickTop="1" x14ac:dyDescent="0.2">
      <c r="A5" s="159"/>
      <c r="B5" s="126"/>
      <c r="C5" s="126"/>
      <c r="D5" s="126"/>
      <c r="E5" s="126"/>
      <c r="F5" s="126"/>
      <c r="G5" s="126"/>
      <c r="H5" s="126"/>
      <c r="I5" s="126"/>
      <c r="J5" s="127"/>
    </row>
    <row r="6" spans="1:10" x14ac:dyDescent="0.2">
      <c r="A6" s="230" t="s">
        <v>13</v>
      </c>
      <c r="B6" s="996"/>
      <c r="C6" s="224"/>
      <c r="D6" s="224"/>
      <c r="E6" s="224"/>
      <c r="F6" s="224"/>
      <c r="G6" s="224"/>
      <c r="H6" s="224"/>
      <c r="I6" s="224"/>
      <c r="J6" s="237"/>
    </row>
    <row r="7" spans="1:10" ht="30" x14ac:dyDescent="0.2">
      <c r="A7" s="1635" t="s">
        <v>309</v>
      </c>
      <c r="B7" s="864" t="s">
        <v>4</v>
      </c>
      <c r="C7" s="224" t="s">
        <v>56</v>
      </c>
      <c r="D7" s="224"/>
      <c r="E7" s="224"/>
      <c r="F7" s="224"/>
      <c r="G7" s="1009"/>
      <c r="H7" s="982" t="s">
        <v>16</v>
      </c>
      <c r="I7" s="982" t="s">
        <v>414</v>
      </c>
      <c r="J7" s="1010" t="s">
        <v>41</v>
      </c>
    </row>
    <row r="8" spans="1:10" x14ac:dyDescent="0.2">
      <c r="A8" s="1011"/>
      <c r="B8" s="258"/>
      <c r="C8" s="985"/>
      <c r="D8" s="985"/>
      <c r="E8" s="985"/>
      <c r="F8" s="985"/>
      <c r="G8" s="986"/>
      <c r="H8" s="317"/>
      <c r="I8" s="1680"/>
      <c r="J8" s="1681">
        <f t="shared" ref="J8:J17" si="0">H8*I8</f>
        <v>0</v>
      </c>
    </row>
    <row r="9" spans="1:10" x14ac:dyDescent="0.2">
      <c r="A9" s="245"/>
      <c r="B9" s="240"/>
      <c r="C9" s="238"/>
      <c r="D9" s="238"/>
      <c r="E9" s="238"/>
      <c r="F9" s="238"/>
      <c r="G9" s="239"/>
      <c r="H9" s="240"/>
      <c r="I9" s="1682"/>
      <c r="J9" s="1661">
        <f t="shared" si="0"/>
        <v>0</v>
      </c>
    </row>
    <row r="10" spans="1:10" x14ac:dyDescent="0.2">
      <c r="A10" s="245"/>
      <c r="B10" s="240"/>
      <c r="C10" s="1099"/>
      <c r="D10" s="1099"/>
      <c r="E10" s="1099"/>
      <c r="F10" s="1099"/>
      <c r="G10" s="1098"/>
      <c r="H10" s="240"/>
      <c r="I10" s="1682"/>
      <c r="J10" s="1661">
        <f t="shared" si="0"/>
        <v>0</v>
      </c>
    </row>
    <row r="11" spans="1:10" x14ac:dyDescent="0.2">
      <c r="A11" s="245"/>
      <c r="B11" s="240"/>
      <c r="C11" s="1099"/>
      <c r="D11" s="1099"/>
      <c r="E11" s="1099"/>
      <c r="F11" s="1099"/>
      <c r="G11" s="1098"/>
      <c r="H11" s="240"/>
      <c r="I11" s="1682"/>
      <c r="J11" s="1661">
        <f t="shared" si="0"/>
        <v>0</v>
      </c>
    </row>
    <row r="12" spans="1:10" x14ac:dyDescent="0.2">
      <c r="A12" s="245"/>
      <c r="B12" s="240"/>
      <c r="C12" s="1099"/>
      <c r="D12" s="1099"/>
      <c r="E12" s="1099"/>
      <c r="F12" s="1099"/>
      <c r="G12" s="1098"/>
      <c r="H12" s="240"/>
      <c r="I12" s="1682"/>
      <c r="J12" s="1661">
        <f t="shared" si="0"/>
        <v>0</v>
      </c>
    </row>
    <row r="13" spans="1:10" x14ac:dyDescent="0.2">
      <c r="A13" s="245"/>
      <c r="B13" s="240"/>
      <c r="C13" s="238"/>
      <c r="D13" s="238"/>
      <c r="E13" s="238"/>
      <c r="F13" s="238"/>
      <c r="G13" s="239"/>
      <c r="H13" s="240"/>
      <c r="I13" s="1682"/>
      <c r="J13" s="1661">
        <f t="shared" si="0"/>
        <v>0</v>
      </c>
    </row>
    <row r="14" spans="1:10" x14ac:dyDescent="0.2">
      <c r="A14" s="245"/>
      <c r="B14" s="240"/>
      <c r="C14" s="238"/>
      <c r="D14" s="238"/>
      <c r="E14" s="238"/>
      <c r="F14" s="238"/>
      <c r="G14" s="239"/>
      <c r="H14" s="240"/>
      <c r="I14" s="1682"/>
      <c r="J14" s="1661">
        <f t="shared" si="0"/>
        <v>0</v>
      </c>
    </row>
    <row r="15" spans="1:10" x14ac:dyDescent="0.2">
      <c r="A15" s="245"/>
      <c r="B15" s="240"/>
      <c r="C15" s="238"/>
      <c r="D15" s="238"/>
      <c r="E15" s="238"/>
      <c r="F15" s="238"/>
      <c r="G15" s="239"/>
      <c r="H15" s="240"/>
      <c r="I15" s="1682"/>
      <c r="J15" s="1661">
        <f t="shared" si="0"/>
        <v>0</v>
      </c>
    </row>
    <row r="16" spans="1:10" x14ac:dyDescent="0.2">
      <c r="A16" s="245"/>
      <c r="B16" s="240"/>
      <c r="C16" s="238"/>
      <c r="D16" s="238"/>
      <c r="E16" s="238"/>
      <c r="F16" s="238"/>
      <c r="G16" s="239"/>
      <c r="H16" s="240"/>
      <c r="I16" s="1682"/>
      <c r="J16" s="1661">
        <f t="shared" si="0"/>
        <v>0</v>
      </c>
    </row>
    <row r="17" spans="1:10" ht="15.75" thickBot="1" x14ac:dyDescent="0.25">
      <c r="A17" s="259"/>
      <c r="B17" s="260"/>
      <c r="C17" s="987"/>
      <c r="D17" s="987"/>
      <c r="E17" s="987"/>
      <c r="F17" s="987"/>
      <c r="G17" s="988"/>
      <c r="H17" s="1012"/>
      <c r="I17" s="1683"/>
      <c r="J17" s="1663">
        <f t="shared" si="0"/>
        <v>0</v>
      </c>
    </row>
    <row r="18" spans="1:10" x14ac:dyDescent="0.2">
      <c r="A18" s="302"/>
      <c r="B18" s="303"/>
      <c r="C18" s="303"/>
      <c r="D18" s="303"/>
      <c r="E18" s="303"/>
      <c r="F18" s="303"/>
      <c r="G18" s="303"/>
      <c r="H18" s="303"/>
      <c r="I18" s="1684" t="s">
        <v>654</v>
      </c>
      <c r="J18" s="1677">
        <f>SUM(J8:J17)</f>
        <v>0</v>
      </c>
    </row>
    <row r="19" spans="1:10" x14ac:dyDescent="0.2">
      <c r="A19" s="225"/>
      <c r="B19" s="229"/>
      <c r="C19" s="229"/>
      <c r="D19" s="229"/>
      <c r="E19" s="229"/>
      <c r="F19" s="229"/>
      <c r="G19" s="229"/>
      <c r="H19" s="229"/>
      <c r="I19" s="1545" t="s">
        <v>311</v>
      </c>
      <c r="J19" s="1685"/>
    </row>
    <row r="20" spans="1:10" x14ac:dyDescent="0.2">
      <c r="A20" s="230" t="s">
        <v>14</v>
      </c>
      <c r="B20" s="1000"/>
      <c r="C20" s="221"/>
      <c r="D20" s="221"/>
      <c r="E20" s="221"/>
      <c r="F20" s="221"/>
      <c r="G20" s="221"/>
      <c r="H20" s="221"/>
      <c r="I20" s="858"/>
      <c r="J20" s="854"/>
    </row>
    <row r="21" spans="1:10" ht="27.75" customHeight="1" x14ac:dyDescent="0.2">
      <c r="A21" s="1635" t="s">
        <v>309</v>
      </c>
      <c r="B21" s="864" t="s">
        <v>4</v>
      </c>
      <c r="C21" s="224" t="s">
        <v>15</v>
      </c>
      <c r="D21" s="224"/>
      <c r="E21" s="224"/>
      <c r="F21" s="1009"/>
      <c r="G21" s="982" t="s">
        <v>16</v>
      </c>
      <c r="H21" s="982" t="s">
        <v>57</v>
      </c>
      <c r="I21" s="982" t="s">
        <v>414</v>
      </c>
      <c r="J21" s="1013" t="s">
        <v>41</v>
      </c>
    </row>
    <row r="22" spans="1:10" x14ac:dyDescent="0.2">
      <c r="A22" s="1011"/>
      <c r="B22" s="258"/>
      <c r="C22" s="985"/>
      <c r="D22" s="985"/>
      <c r="E22" s="985"/>
      <c r="F22" s="986"/>
      <c r="G22" s="241"/>
      <c r="H22" s="241"/>
      <c r="I22" s="1686"/>
      <c r="J22" s="1659">
        <f t="shared" ref="J22:J31" si="1">G22*H22*I22</f>
        <v>0</v>
      </c>
    </row>
    <row r="23" spans="1:10" x14ac:dyDescent="0.2">
      <c r="A23" s="245"/>
      <c r="B23" s="240"/>
      <c r="C23" s="238"/>
      <c r="D23" s="238"/>
      <c r="E23" s="238"/>
      <c r="F23" s="239"/>
      <c r="G23" s="240"/>
      <c r="H23" s="240"/>
      <c r="I23" s="1682"/>
      <c r="J23" s="1661">
        <f t="shared" si="1"/>
        <v>0</v>
      </c>
    </row>
    <row r="24" spans="1:10" x14ac:dyDescent="0.2">
      <c r="A24" s="245"/>
      <c r="B24" s="240"/>
      <c r="C24" s="238"/>
      <c r="D24" s="238"/>
      <c r="E24" s="238"/>
      <c r="F24" s="239"/>
      <c r="G24" s="240"/>
      <c r="H24" s="240"/>
      <c r="I24" s="1682"/>
      <c r="J24" s="1661">
        <f t="shared" si="1"/>
        <v>0</v>
      </c>
    </row>
    <row r="25" spans="1:10" x14ac:dyDescent="0.2">
      <c r="A25" s="245"/>
      <c r="B25" s="240"/>
      <c r="C25" s="1099"/>
      <c r="D25" s="1099"/>
      <c r="E25" s="1099"/>
      <c r="F25" s="1098"/>
      <c r="G25" s="240"/>
      <c r="H25" s="240"/>
      <c r="I25" s="1682"/>
      <c r="J25" s="1661">
        <f t="shared" si="1"/>
        <v>0</v>
      </c>
    </row>
    <row r="26" spans="1:10" x14ac:dyDescent="0.2">
      <c r="A26" s="245"/>
      <c r="B26" s="240"/>
      <c r="C26" s="238"/>
      <c r="D26" s="238"/>
      <c r="E26" s="238"/>
      <c r="F26" s="239"/>
      <c r="G26" s="240"/>
      <c r="H26" s="240"/>
      <c r="I26" s="1682"/>
      <c r="J26" s="1661">
        <f t="shared" si="1"/>
        <v>0</v>
      </c>
    </row>
    <row r="27" spans="1:10" x14ac:dyDescent="0.2">
      <c r="A27" s="245"/>
      <c r="B27" s="240"/>
      <c r="C27" s="238"/>
      <c r="D27" s="238"/>
      <c r="E27" s="238"/>
      <c r="F27" s="239"/>
      <c r="G27" s="240"/>
      <c r="H27" s="240"/>
      <c r="I27" s="1682"/>
      <c r="J27" s="1661">
        <f t="shared" si="1"/>
        <v>0</v>
      </c>
    </row>
    <row r="28" spans="1:10" x14ac:dyDescent="0.2">
      <c r="A28" s="245"/>
      <c r="B28" s="240"/>
      <c r="C28" s="238"/>
      <c r="D28" s="238"/>
      <c r="E28" s="238"/>
      <c r="F28" s="239"/>
      <c r="G28" s="240"/>
      <c r="H28" s="240"/>
      <c r="I28" s="1682"/>
      <c r="J28" s="1661">
        <f t="shared" si="1"/>
        <v>0</v>
      </c>
    </row>
    <row r="29" spans="1:10" x14ac:dyDescent="0.2">
      <c r="A29" s="245"/>
      <c r="B29" s="240"/>
      <c r="C29" s="238"/>
      <c r="D29" s="238"/>
      <c r="E29" s="238"/>
      <c r="F29" s="239"/>
      <c r="G29" s="240"/>
      <c r="H29" s="240"/>
      <c r="I29" s="1682"/>
      <c r="J29" s="1661">
        <f t="shared" si="1"/>
        <v>0</v>
      </c>
    </row>
    <row r="30" spans="1:10" x14ac:dyDescent="0.2">
      <c r="A30" s="245"/>
      <c r="B30" s="240"/>
      <c r="C30" s="238"/>
      <c r="D30" s="238"/>
      <c r="E30" s="238"/>
      <c r="F30" s="239"/>
      <c r="G30" s="240"/>
      <c r="H30" s="240"/>
      <c r="I30" s="1682"/>
      <c r="J30" s="1661">
        <f t="shared" si="1"/>
        <v>0</v>
      </c>
    </row>
    <row r="31" spans="1:10" ht="15.75" thickBot="1" x14ac:dyDescent="0.25">
      <c r="A31" s="259"/>
      <c r="B31" s="260"/>
      <c r="C31" s="987"/>
      <c r="D31" s="987"/>
      <c r="E31" s="987"/>
      <c r="F31" s="988"/>
      <c r="G31" s="1012"/>
      <c r="H31" s="1012"/>
      <c r="I31" s="1683"/>
      <c r="J31" s="1663">
        <f t="shared" si="1"/>
        <v>0</v>
      </c>
    </row>
    <row r="32" spans="1:10" x14ac:dyDescent="0.2">
      <c r="A32" s="302"/>
      <c r="B32" s="303"/>
      <c r="C32" s="303"/>
      <c r="D32" s="303"/>
      <c r="E32" s="303"/>
      <c r="F32" s="303"/>
      <c r="G32" s="303"/>
      <c r="H32" s="303"/>
      <c r="I32" s="1684" t="s">
        <v>653</v>
      </c>
      <c r="J32" s="1677">
        <f>SUM(J22:J31)</f>
        <v>0</v>
      </c>
    </row>
    <row r="33" spans="1:10" x14ac:dyDescent="0.2">
      <c r="A33" s="225"/>
      <c r="B33" s="229"/>
      <c r="C33" s="229"/>
      <c r="D33" s="229"/>
      <c r="E33" s="229"/>
      <c r="F33" s="229"/>
      <c r="G33" s="229"/>
      <c r="H33" s="229"/>
      <c r="I33" s="1545" t="s">
        <v>311</v>
      </c>
      <c r="J33" s="1685"/>
    </row>
    <row r="34" spans="1:10" x14ac:dyDescent="0.2">
      <c r="A34" s="230" t="s">
        <v>58</v>
      </c>
      <c r="B34" s="1000"/>
      <c r="C34" s="221"/>
      <c r="D34" s="221"/>
      <c r="E34" s="221"/>
      <c r="F34" s="221"/>
      <c r="G34" s="221"/>
      <c r="H34" s="221"/>
      <c r="I34" s="858"/>
      <c r="J34" s="855"/>
    </row>
    <row r="35" spans="1:10" ht="30" x14ac:dyDescent="0.2">
      <c r="A35" s="1635" t="s">
        <v>309</v>
      </c>
      <c r="B35" s="864" t="s">
        <v>4</v>
      </c>
      <c r="C35" s="224" t="s">
        <v>15</v>
      </c>
      <c r="D35" s="224"/>
      <c r="E35" s="224"/>
      <c r="F35" s="224"/>
      <c r="G35" s="1009"/>
      <c r="H35" s="223" t="s">
        <v>59</v>
      </c>
      <c r="I35" s="223" t="s">
        <v>414</v>
      </c>
      <c r="J35" s="1013" t="s">
        <v>41</v>
      </c>
    </row>
    <row r="36" spans="1:10" x14ac:dyDescent="0.2">
      <c r="A36" s="1011"/>
      <c r="B36" s="258"/>
      <c r="C36" s="985"/>
      <c r="D36" s="985"/>
      <c r="E36" s="985"/>
      <c r="F36" s="985"/>
      <c r="G36" s="986"/>
      <c r="H36" s="241"/>
      <c r="I36" s="1686"/>
      <c r="J36" s="1659">
        <f t="shared" ref="J36:J45" si="2">H36*I36</f>
        <v>0</v>
      </c>
    </row>
    <row r="37" spans="1:10" x14ac:dyDescent="0.2">
      <c r="A37" s="245"/>
      <c r="B37" s="240"/>
      <c r="C37" s="238"/>
      <c r="D37" s="238"/>
      <c r="E37" s="238"/>
      <c r="F37" s="238"/>
      <c r="G37" s="239"/>
      <c r="H37" s="240"/>
      <c r="I37" s="1682"/>
      <c r="J37" s="1661">
        <f t="shared" si="2"/>
        <v>0</v>
      </c>
    </row>
    <row r="38" spans="1:10" x14ac:dyDescent="0.2">
      <c r="A38" s="245"/>
      <c r="B38" s="240"/>
      <c r="C38" s="1099"/>
      <c r="D38" s="1099"/>
      <c r="E38" s="1099"/>
      <c r="F38" s="1099"/>
      <c r="G38" s="1098"/>
      <c r="H38" s="240"/>
      <c r="I38" s="1682"/>
      <c r="J38" s="1661">
        <f t="shared" si="2"/>
        <v>0</v>
      </c>
    </row>
    <row r="39" spans="1:10" x14ac:dyDescent="0.2">
      <c r="A39" s="245"/>
      <c r="B39" s="240"/>
      <c r="C39" s="1099"/>
      <c r="D39" s="1099"/>
      <c r="E39" s="1099"/>
      <c r="F39" s="1099"/>
      <c r="G39" s="1098"/>
      <c r="H39" s="240"/>
      <c r="I39" s="1682"/>
      <c r="J39" s="1661">
        <f t="shared" si="2"/>
        <v>0</v>
      </c>
    </row>
    <row r="40" spans="1:10" x14ac:dyDescent="0.2">
      <c r="A40" s="245"/>
      <c r="B40" s="240"/>
      <c r="C40" s="1099"/>
      <c r="D40" s="1099"/>
      <c r="E40" s="1099"/>
      <c r="F40" s="1099"/>
      <c r="G40" s="1098"/>
      <c r="H40" s="240"/>
      <c r="I40" s="1682"/>
      <c r="J40" s="1661">
        <f t="shared" si="2"/>
        <v>0</v>
      </c>
    </row>
    <row r="41" spans="1:10" x14ac:dyDescent="0.2">
      <c r="A41" s="245"/>
      <c r="B41" s="240"/>
      <c r="C41" s="238"/>
      <c r="D41" s="238"/>
      <c r="E41" s="238"/>
      <c r="F41" s="238"/>
      <c r="G41" s="239"/>
      <c r="H41" s="240"/>
      <c r="I41" s="1682"/>
      <c r="J41" s="1661">
        <f t="shared" si="2"/>
        <v>0</v>
      </c>
    </row>
    <row r="42" spans="1:10" x14ac:dyDescent="0.2">
      <c r="A42" s="245"/>
      <c r="B42" s="240"/>
      <c r="C42" s="238"/>
      <c r="D42" s="238"/>
      <c r="E42" s="238"/>
      <c r="F42" s="238"/>
      <c r="G42" s="239"/>
      <c r="H42" s="240"/>
      <c r="I42" s="1682"/>
      <c r="J42" s="1661">
        <f t="shared" si="2"/>
        <v>0</v>
      </c>
    </row>
    <row r="43" spans="1:10" x14ac:dyDescent="0.2">
      <c r="A43" s="245"/>
      <c r="B43" s="240"/>
      <c r="C43" s="238"/>
      <c r="D43" s="238"/>
      <c r="E43" s="238"/>
      <c r="F43" s="238"/>
      <c r="G43" s="239"/>
      <c r="H43" s="240"/>
      <c r="I43" s="1682"/>
      <c r="J43" s="1661">
        <f t="shared" si="2"/>
        <v>0</v>
      </c>
    </row>
    <row r="44" spans="1:10" x14ac:dyDescent="0.2">
      <c r="A44" s="245"/>
      <c r="B44" s="240"/>
      <c r="C44" s="238"/>
      <c r="D44" s="238"/>
      <c r="E44" s="238"/>
      <c r="F44" s="238"/>
      <c r="G44" s="239"/>
      <c r="H44" s="240"/>
      <c r="I44" s="1682"/>
      <c r="J44" s="1661">
        <f t="shared" si="2"/>
        <v>0</v>
      </c>
    </row>
    <row r="45" spans="1:10" ht="15.75" thickBot="1" x14ac:dyDescent="0.25">
      <c r="A45" s="259"/>
      <c r="B45" s="260"/>
      <c r="C45" s="987"/>
      <c r="D45" s="987"/>
      <c r="E45" s="987"/>
      <c r="F45" s="987"/>
      <c r="G45" s="988"/>
      <c r="H45" s="1012"/>
      <c r="I45" s="1683"/>
      <c r="J45" s="1663">
        <f t="shared" si="2"/>
        <v>0</v>
      </c>
    </row>
    <row r="46" spans="1:10" x14ac:dyDescent="0.2">
      <c r="A46" s="302"/>
      <c r="B46" s="303"/>
      <c r="C46" s="303"/>
      <c r="D46" s="303"/>
      <c r="E46" s="303"/>
      <c r="F46" s="303"/>
      <c r="G46" s="303"/>
      <c r="H46" s="303"/>
      <c r="I46" s="1684" t="s">
        <v>652</v>
      </c>
      <c r="J46" s="1677">
        <f>SUM(J36:J45)</f>
        <v>0</v>
      </c>
    </row>
    <row r="47" spans="1:10" x14ac:dyDescent="0.2">
      <c r="A47" s="225"/>
      <c r="B47" s="229"/>
      <c r="C47" s="229"/>
      <c r="D47" s="229"/>
      <c r="E47" s="229"/>
      <c r="F47" s="229"/>
      <c r="G47" s="229"/>
      <c r="H47" s="229"/>
      <c r="I47" s="1545" t="s">
        <v>311</v>
      </c>
      <c r="J47" s="1685"/>
    </row>
    <row r="48" spans="1:10" x14ac:dyDescent="0.2">
      <c r="A48" s="242" t="s">
        <v>60</v>
      </c>
      <c r="B48" s="1007"/>
      <c r="C48" s="243"/>
      <c r="D48" s="243"/>
      <c r="E48" s="243"/>
      <c r="F48" s="243"/>
      <c r="G48" s="243"/>
      <c r="H48" s="243"/>
      <c r="I48" s="859"/>
      <c r="J48" s="856"/>
    </row>
    <row r="49" spans="1:10" ht="30" x14ac:dyDescent="0.2">
      <c r="A49" s="1635" t="s">
        <v>309</v>
      </c>
      <c r="B49" s="864" t="s">
        <v>4</v>
      </c>
      <c r="C49" s="982" t="s">
        <v>10</v>
      </c>
      <c r="D49" s="223" t="s">
        <v>61</v>
      </c>
      <c r="E49" s="2169" t="s">
        <v>62</v>
      </c>
      <c r="F49" s="2170"/>
      <c r="G49" s="982" t="s">
        <v>11</v>
      </c>
      <c r="H49" s="982" t="s">
        <v>12</v>
      </c>
      <c r="I49" s="982" t="s">
        <v>414</v>
      </c>
      <c r="J49" s="1013" t="s">
        <v>41</v>
      </c>
    </row>
    <row r="50" spans="1:10" x14ac:dyDescent="0.2">
      <c r="A50" s="244"/>
      <c r="B50" s="1001"/>
      <c r="C50" s="241"/>
      <c r="D50" s="241"/>
      <c r="E50" s="2171"/>
      <c r="F50" s="2172"/>
      <c r="G50" s="241"/>
      <c r="H50" s="241"/>
      <c r="I50" s="1686"/>
      <c r="J50" s="1659">
        <f t="shared" ref="J50:J59" si="3">D50*I50</f>
        <v>0</v>
      </c>
    </row>
    <row r="51" spans="1:10" x14ac:dyDescent="0.2">
      <c r="A51" s="245"/>
      <c r="B51" s="239"/>
      <c r="C51" s="240"/>
      <c r="D51" s="240"/>
      <c r="E51" s="2167"/>
      <c r="F51" s="2168"/>
      <c r="G51" s="240"/>
      <c r="H51" s="240"/>
      <c r="I51" s="1682"/>
      <c r="J51" s="1661">
        <f t="shared" si="3"/>
        <v>0</v>
      </c>
    </row>
    <row r="52" spans="1:10" x14ac:dyDescent="0.2">
      <c r="A52" s="245"/>
      <c r="B52" s="239"/>
      <c r="C52" s="240"/>
      <c r="D52" s="240"/>
      <c r="E52" s="2167"/>
      <c r="F52" s="2168"/>
      <c r="G52" s="240"/>
      <c r="H52" s="240"/>
      <c r="I52" s="1682"/>
      <c r="J52" s="1661">
        <f t="shared" si="3"/>
        <v>0</v>
      </c>
    </row>
    <row r="53" spans="1:10" x14ac:dyDescent="0.2">
      <c r="A53" s="245"/>
      <c r="B53" s="239"/>
      <c r="C53" s="240"/>
      <c r="D53" s="240"/>
      <c r="E53" s="2167"/>
      <c r="F53" s="2168"/>
      <c r="G53" s="240"/>
      <c r="H53" s="240"/>
      <c r="I53" s="1682"/>
      <c r="J53" s="1661">
        <f t="shared" si="3"/>
        <v>0</v>
      </c>
    </row>
    <row r="54" spans="1:10" x14ac:dyDescent="0.2">
      <c r="A54" s="245"/>
      <c r="B54" s="239"/>
      <c r="C54" s="240"/>
      <c r="D54" s="240"/>
      <c r="E54" s="2167"/>
      <c r="F54" s="2168"/>
      <c r="G54" s="240"/>
      <c r="H54" s="240"/>
      <c r="I54" s="1682"/>
      <c r="J54" s="1661">
        <f t="shared" si="3"/>
        <v>0</v>
      </c>
    </row>
    <row r="55" spans="1:10" x14ac:dyDescent="0.2">
      <c r="A55" s="245"/>
      <c r="B55" s="239"/>
      <c r="C55" s="240"/>
      <c r="D55" s="240"/>
      <c r="E55" s="2167"/>
      <c r="F55" s="2168"/>
      <c r="G55" s="240"/>
      <c r="H55" s="240"/>
      <c r="I55" s="1682"/>
      <c r="J55" s="1661">
        <f t="shared" si="3"/>
        <v>0</v>
      </c>
    </row>
    <row r="56" spans="1:10" x14ac:dyDescent="0.2">
      <c r="A56" s="245"/>
      <c r="B56" s="239"/>
      <c r="C56" s="240"/>
      <c r="D56" s="240"/>
      <c r="E56" s="2167"/>
      <c r="F56" s="2168"/>
      <c r="G56" s="240"/>
      <c r="H56" s="240"/>
      <c r="I56" s="1682"/>
      <c r="J56" s="1661">
        <f t="shared" si="3"/>
        <v>0</v>
      </c>
    </row>
    <row r="57" spans="1:10" x14ac:dyDescent="0.2">
      <c r="A57" s="245"/>
      <c r="B57" s="239"/>
      <c r="C57" s="240"/>
      <c r="D57" s="240"/>
      <c r="E57" s="2167"/>
      <c r="F57" s="2168"/>
      <c r="G57" s="240"/>
      <c r="H57" s="240"/>
      <c r="I57" s="1682"/>
      <c r="J57" s="1661">
        <f t="shared" si="3"/>
        <v>0</v>
      </c>
    </row>
    <row r="58" spans="1:10" x14ac:dyDescent="0.2">
      <c r="A58" s="245"/>
      <c r="B58" s="239"/>
      <c r="C58" s="240"/>
      <c r="D58" s="240"/>
      <c r="E58" s="2167"/>
      <c r="F58" s="2168"/>
      <c r="G58" s="240"/>
      <c r="H58" s="240"/>
      <c r="I58" s="1682"/>
      <c r="J58" s="1661">
        <f t="shared" si="3"/>
        <v>0</v>
      </c>
    </row>
    <row r="59" spans="1:10" ht="15.75" thickBot="1" x14ac:dyDescent="0.25">
      <c r="A59" s="1014"/>
      <c r="B59" s="1015"/>
      <c r="C59" s="1012"/>
      <c r="D59" s="1012"/>
      <c r="E59" s="2176"/>
      <c r="F59" s="2177"/>
      <c r="G59" s="1012"/>
      <c r="H59" s="1012"/>
      <c r="I59" s="1683"/>
      <c r="J59" s="1663">
        <f t="shared" si="3"/>
        <v>0</v>
      </c>
    </row>
    <row r="60" spans="1:10" x14ac:dyDescent="0.2">
      <c r="A60" s="302"/>
      <c r="B60" s="303"/>
      <c r="C60" s="303"/>
      <c r="D60" s="303"/>
      <c r="E60" s="303"/>
      <c r="F60" s="303"/>
      <c r="G60" s="303"/>
      <c r="H60" s="303"/>
      <c r="I60" s="1684" t="s">
        <v>655</v>
      </c>
      <c r="J60" s="1677">
        <f>SUM(J50:J59)</f>
        <v>0</v>
      </c>
    </row>
    <row r="61" spans="1:10" x14ac:dyDescent="0.2">
      <c r="A61" s="225"/>
      <c r="B61" s="229"/>
      <c r="C61" s="229"/>
      <c r="D61" s="229"/>
      <c r="E61" s="229"/>
      <c r="F61" s="229"/>
      <c r="G61" s="229"/>
      <c r="H61" s="229"/>
      <c r="I61" s="1545" t="s">
        <v>311</v>
      </c>
      <c r="J61" s="1685"/>
    </row>
    <row r="62" spans="1:10" ht="15.75" thickBot="1" x14ac:dyDescent="0.25">
      <c r="A62" s="2178"/>
      <c r="B62" s="2179"/>
      <c r="C62" s="2179"/>
      <c r="D62" s="2179"/>
      <c r="E62" s="2179"/>
      <c r="F62" s="2179"/>
      <c r="G62" s="2179"/>
      <c r="H62" s="2179"/>
      <c r="I62" s="2179"/>
      <c r="J62" s="857"/>
    </row>
    <row r="63" spans="1:10" ht="16.5" thickTop="1" thickBot="1" x14ac:dyDescent="0.25">
      <c r="A63" s="2173" t="s">
        <v>651</v>
      </c>
      <c r="B63" s="2174"/>
      <c r="C63" s="2174"/>
      <c r="D63" s="2174"/>
      <c r="E63" s="2174"/>
      <c r="F63" s="2174"/>
      <c r="G63" s="2174"/>
      <c r="H63" s="2174"/>
      <c r="I63" s="2175"/>
      <c r="J63" s="1687">
        <f>J60+J46+J32+J18</f>
        <v>0</v>
      </c>
    </row>
    <row r="64" spans="1:10" ht="16.5" thickTop="1" thickBot="1" x14ac:dyDescent="0.25">
      <c r="A64" s="234"/>
      <c r="B64" s="231"/>
      <c r="C64" s="231"/>
      <c r="D64" s="231"/>
      <c r="E64" s="231"/>
      <c r="F64" s="231"/>
      <c r="G64" s="231"/>
      <c r="H64" s="231"/>
      <c r="I64" s="231" t="s">
        <v>311</v>
      </c>
      <c r="J64" s="1688">
        <f>J61+J47+J33+J19</f>
        <v>0</v>
      </c>
    </row>
    <row r="65"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13">
    <mergeCell ref="E56:F56"/>
    <mergeCell ref="A63:I63"/>
    <mergeCell ref="E57:F57"/>
    <mergeCell ref="E58:F58"/>
    <mergeCell ref="E59:F59"/>
    <mergeCell ref="A62:I62"/>
    <mergeCell ref="E55:F55"/>
    <mergeCell ref="E49:F49"/>
    <mergeCell ref="E50:F50"/>
    <mergeCell ref="E51:F51"/>
    <mergeCell ref="E52:F52"/>
    <mergeCell ref="E53:F53"/>
    <mergeCell ref="E54:F54"/>
  </mergeCells>
  <phoneticPr fontId="0" type="noConversion"/>
  <pageMargins left="0.57999999999999996" right="0.49" top="1" bottom="1" header="0.5" footer="0.5"/>
  <pageSetup paperSize="9" scale="69" orientation="portrait" horizontalDpi="300" verticalDpi="30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I74"/>
  <sheetViews>
    <sheetView zoomScale="75" zoomScaleNormal="75" zoomScaleSheetLayoutView="90" workbookViewId="0">
      <selection activeCell="F3" sqref="F3"/>
    </sheetView>
  </sheetViews>
  <sheetFormatPr defaultRowHeight="15" x14ac:dyDescent="0.2"/>
  <cols>
    <col min="1" max="1" width="6.33203125" customWidth="1"/>
    <col min="2" max="2" width="10.5546875" customWidth="1"/>
    <col min="3" max="3" width="13.109375" customWidth="1"/>
    <col min="4" max="4" width="19.109375" customWidth="1"/>
    <col min="5" max="5" width="10.77734375" customWidth="1"/>
    <col min="6" max="6" width="13.77734375" customWidth="1"/>
    <col min="7" max="7" width="11" customWidth="1"/>
    <col min="8" max="8" width="9" bestFit="1" customWidth="1"/>
    <col min="9" max="9" width="13.109375" customWidth="1"/>
  </cols>
  <sheetData>
    <row r="1" spans="1:9" ht="18.75" thickTop="1" x14ac:dyDescent="0.2">
      <c r="A1" s="1581" t="s">
        <v>63</v>
      </c>
      <c r="B1" s="989"/>
      <c r="C1" s="219"/>
      <c r="D1" s="219"/>
      <c r="E1" s="219"/>
      <c r="F1" s="219"/>
      <c r="G1" s="219"/>
      <c r="H1" s="219"/>
      <c r="I1" s="220"/>
    </row>
    <row r="2" spans="1:9" ht="15.75" x14ac:dyDescent="0.2">
      <c r="A2" s="246" t="s">
        <v>189</v>
      </c>
      <c r="B2" s="485"/>
      <c r="C2" s="1619"/>
      <c r="D2" s="1619"/>
      <c r="E2" s="2"/>
      <c r="F2" s="262" t="s">
        <v>194</v>
      </c>
      <c r="G2" s="262"/>
      <c r="H2" s="1619"/>
      <c r="I2" s="130"/>
    </row>
    <row r="3" spans="1:9" ht="16.5" thickBot="1" x14ac:dyDescent="0.25">
      <c r="A3" s="2121" t="s">
        <v>310</v>
      </c>
      <c r="B3" s="2122"/>
      <c r="C3" s="2122"/>
      <c r="D3" s="1641">
        <f>'Input Data'!D29</f>
        <v>0</v>
      </c>
      <c r="E3" s="247"/>
      <c r="F3" s="1711" t="s">
        <v>677</v>
      </c>
      <c r="G3" s="1721">
        <f>'Input Data'!D6</f>
        <v>0</v>
      </c>
      <c r="H3" s="139"/>
      <c r="I3" s="198"/>
    </row>
    <row r="4" spans="1:9" ht="15.75" thickTop="1" x14ac:dyDescent="0.2">
      <c r="A4" s="236"/>
      <c r="B4" s="1618"/>
      <c r="C4" s="1618"/>
      <c r="D4" s="204"/>
      <c r="E4" s="204"/>
      <c r="F4" s="204"/>
      <c r="G4" s="1619"/>
      <c r="H4" s="1619"/>
      <c r="I4" s="130"/>
    </row>
    <row r="5" spans="1:9" x14ac:dyDescent="0.2">
      <c r="A5" s="242" t="s">
        <v>64</v>
      </c>
      <c r="B5" s="1016"/>
      <c r="C5" s="221"/>
      <c r="D5" s="221"/>
      <c r="E5" s="221"/>
      <c r="F5" s="221"/>
      <c r="G5" s="221"/>
      <c r="H5" s="221"/>
      <c r="I5" s="222"/>
    </row>
    <row r="6" spans="1:9" ht="30" x14ac:dyDescent="0.2">
      <c r="A6" s="1635" t="s">
        <v>309</v>
      </c>
      <c r="B6" s="863" t="s">
        <v>65</v>
      </c>
      <c r="C6" s="1624" t="s">
        <v>38</v>
      </c>
      <c r="D6" s="1021" t="s">
        <v>24</v>
      </c>
      <c r="E6" s="1020"/>
      <c r="F6" s="1624" t="s">
        <v>111</v>
      </c>
      <c r="G6" s="1624" t="s">
        <v>66</v>
      </c>
      <c r="H6" s="1624" t="s">
        <v>372</v>
      </c>
      <c r="I6" s="851" t="s">
        <v>6</v>
      </c>
    </row>
    <row r="7" spans="1:9" x14ac:dyDescent="0.2">
      <c r="A7" s="299"/>
      <c r="B7" s="999"/>
      <c r="C7" s="265"/>
      <c r="D7" s="268"/>
      <c r="E7" s="269"/>
      <c r="F7" s="265"/>
      <c r="G7" s="1691"/>
      <c r="H7" s="1689"/>
      <c r="I7" s="1659">
        <f>G7*H7</f>
        <v>0</v>
      </c>
    </row>
    <row r="8" spans="1:9" x14ac:dyDescent="0.2">
      <c r="A8" s="245"/>
      <c r="B8" s="1626"/>
      <c r="C8" s="240"/>
      <c r="D8" s="1625"/>
      <c r="E8" s="1626"/>
      <c r="F8" s="240"/>
      <c r="G8" s="1541"/>
      <c r="H8" s="1682"/>
      <c r="I8" s="1661">
        <f t="shared" ref="I8:I16" si="0">G8*H8</f>
        <v>0</v>
      </c>
    </row>
    <row r="9" spans="1:9" x14ac:dyDescent="0.2">
      <c r="A9" s="245"/>
      <c r="B9" s="1626"/>
      <c r="C9" s="240"/>
      <c r="D9" s="1625"/>
      <c r="E9" s="1626"/>
      <c r="F9" s="240"/>
      <c r="G9" s="1541"/>
      <c r="H9" s="1682"/>
      <c r="I9" s="1661">
        <f t="shared" si="0"/>
        <v>0</v>
      </c>
    </row>
    <row r="10" spans="1:9" x14ac:dyDescent="0.2">
      <c r="A10" s="245"/>
      <c r="B10" s="1626"/>
      <c r="C10" s="240"/>
      <c r="D10" s="1625"/>
      <c r="E10" s="1626"/>
      <c r="F10" s="240"/>
      <c r="G10" s="1541"/>
      <c r="H10" s="1682"/>
      <c r="I10" s="1661">
        <f t="shared" si="0"/>
        <v>0</v>
      </c>
    </row>
    <row r="11" spans="1:9" x14ac:dyDescent="0.2">
      <c r="A11" s="245"/>
      <c r="B11" s="1626"/>
      <c r="C11" s="240"/>
      <c r="D11" s="1625"/>
      <c r="E11" s="1626"/>
      <c r="F11" s="240"/>
      <c r="G11" s="1541"/>
      <c r="H11" s="1682"/>
      <c r="I11" s="1661">
        <f t="shared" si="0"/>
        <v>0</v>
      </c>
    </row>
    <row r="12" spans="1:9" x14ac:dyDescent="0.2">
      <c r="A12" s="245"/>
      <c r="B12" s="1626"/>
      <c r="C12" s="240"/>
      <c r="D12" s="1625"/>
      <c r="E12" s="1626"/>
      <c r="F12" s="240"/>
      <c r="G12" s="1541"/>
      <c r="H12" s="1682"/>
      <c r="I12" s="1661">
        <f t="shared" si="0"/>
        <v>0</v>
      </c>
    </row>
    <row r="13" spans="1:9" x14ac:dyDescent="0.2">
      <c r="A13" s="245"/>
      <c r="B13" s="1626"/>
      <c r="C13" s="240"/>
      <c r="D13" s="1625"/>
      <c r="E13" s="1626"/>
      <c r="F13" s="240"/>
      <c r="G13" s="1541"/>
      <c r="H13" s="1682"/>
      <c r="I13" s="1661">
        <f t="shared" si="0"/>
        <v>0</v>
      </c>
    </row>
    <row r="14" spans="1:9" x14ac:dyDescent="0.2">
      <c r="A14" s="245"/>
      <c r="B14" s="1626"/>
      <c r="C14" s="240"/>
      <c r="D14" s="1625"/>
      <c r="E14" s="1626"/>
      <c r="F14" s="240"/>
      <c r="G14" s="1541"/>
      <c r="H14" s="1682"/>
      <c r="I14" s="1661">
        <f t="shared" si="0"/>
        <v>0</v>
      </c>
    </row>
    <row r="15" spans="1:9" x14ac:dyDescent="0.2">
      <c r="A15" s="245"/>
      <c r="B15" s="1626"/>
      <c r="C15" s="240"/>
      <c r="D15" s="1625"/>
      <c r="E15" s="1626"/>
      <c r="F15" s="240"/>
      <c r="G15" s="1541"/>
      <c r="H15" s="1682"/>
      <c r="I15" s="1661">
        <f t="shared" si="0"/>
        <v>0</v>
      </c>
    </row>
    <row r="16" spans="1:9" ht="15.75" thickBot="1" x14ac:dyDescent="0.25">
      <c r="A16" s="316"/>
      <c r="B16" s="319"/>
      <c r="C16" s="317"/>
      <c r="D16" s="318"/>
      <c r="E16" s="319"/>
      <c r="F16" s="317"/>
      <c r="G16" s="1692"/>
      <c r="H16" s="1680"/>
      <c r="I16" s="1663">
        <f t="shared" si="0"/>
        <v>0</v>
      </c>
    </row>
    <row r="17" spans="1:9" ht="15.75" thickBot="1" x14ac:dyDescent="0.25">
      <c r="A17" s="302"/>
      <c r="B17" s="303"/>
      <c r="C17" s="303"/>
      <c r="D17" s="303"/>
      <c r="E17" s="303"/>
      <c r="F17" s="303"/>
      <c r="G17" s="303"/>
      <c r="H17" s="1684" t="s">
        <v>603</v>
      </c>
      <c r="I17" s="1556">
        <f>SUM(I7:I16)</f>
        <v>0</v>
      </c>
    </row>
    <row r="18" spans="1:9" ht="16.5" thickTop="1" thickBot="1" x14ac:dyDescent="0.25">
      <c r="A18" s="197"/>
      <c r="B18" s="139"/>
      <c r="C18" s="139"/>
      <c r="D18" s="139"/>
      <c r="E18" s="139"/>
      <c r="F18" s="139"/>
      <c r="G18" s="139"/>
      <c r="H18" s="1665" t="s">
        <v>311</v>
      </c>
      <c r="I18" s="1690"/>
    </row>
    <row r="19" spans="1:9" ht="15.75" thickTop="1" x14ac:dyDescent="0.2">
      <c r="A19" s="595"/>
      <c r="B19" s="2"/>
      <c r="C19" s="2"/>
      <c r="D19" s="2"/>
      <c r="E19" s="2"/>
      <c r="F19" s="2"/>
      <c r="G19" s="2"/>
      <c r="H19" s="2"/>
      <c r="I19" s="940"/>
    </row>
    <row r="20" spans="1:9" x14ac:dyDescent="0.2">
      <c r="A20" s="242" t="s">
        <v>67</v>
      </c>
      <c r="B20" s="1007"/>
      <c r="C20" s="1620"/>
      <c r="D20" s="1620"/>
      <c r="E20" s="1620"/>
      <c r="F20" s="1620"/>
      <c r="G20" s="1620"/>
      <c r="H20" s="1620"/>
      <c r="I20" s="854"/>
    </row>
    <row r="21" spans="1:9" ht="45" x14ac:dyDescent="0.2">
      <c r="A21" s="1635" t="s">
        <v>309</v>
      </c>
      <c r="B21" s="864" t="s">
        <v>4</v>
      </c>
      <c r="C21" s="1622" t="s">
        <v>38</v>
      </c>
      <c r="D21" s="1623"/>
      <c r="E21" s="1622" t="s">
        <v>24</v>
      </c>
      <c r="F21" s="1623"/>
      <c r="G21" s="1624" t="s">
        <v>676</v>
      </c>
      <c r="H21" s="1624" t="s">
        <v>68</v>
      </c>
      <c r="I21" s="852" t="s">
        <v>6</v>
      </c>
    </row>
    <row r="22" spans="1:9" x14ac:dyDescent="0.2">
      <c r="A22" s="244"/>
      <c r="B22" s="1002"/>
      <c r="C22" s="248"/>
      <c r="D22" s="250"/>
      <c r="E22" s="248"/>
      <c r="F22" s="249"/>
      <c r="G22" s="860"/>
      <c r="H22" s="1686"/>
      <c r="I22" s="1693">
        <f t="shared" ref="I22:I31" si="1">G22*H22</f>
        <v>0</v>
      </c>
    </row>
    <row r="23" spans="1:9" x14ac:dyDescent="0.2">
      <c r="A23" s="245"/>
      <c r="B23" s="1629"/>
      <c r="C23" s="1625"/>
      <c r="D23" s="1629"/>
      <c r="E23" s="1625"/>
      <c r="F23" s="1626"/>
      <c r="G23" s="861"/>
      <c r="H23" s="1682"/>
      <c r="I23" s="1694">
        <f t="shared" si="1"/>
        <v>0</v>
      </c>
    </row>
    <row r="24" spans="1:9" x14ac:dyDescent="0.2">
      <c r="A24" s="245"/>
      <c r="B24" s="1629"/>
      <c r="C24" s="1625"/>
      <c r="D24" s="1629"/>
      <c r="E24" s="1625"/>
      <c r="F24" s="1626"/>
      <c r="G24" s="861"/>
      <c r="H24" s="1682"/>
      <c r="I24" s="1694">
        <f t="shared" si="1"/>
        <v>0</v>
      </c>
    </row>
    <row r="25" spans="1:9" x14ac:dyDescent="0.2">
      <c r="A25" s="245"/>
      <c r="B25" s="1629"/>
      <c r="C25" s="1625"/>
      <c r="D25" s="1629"/>
      <c r="E25" s="1625"/>
      <c r="F25" s="1626"/>
      <c r="G25" s="861"/>
      <c r="H25" s="1682"/>
      <c r="I25" s="1694">
        <f t="shared" si="1"/>
        <v>0</v>
      </c>
    </row>
    <row r="26" spans="1:9" x14ac:dyDescent="0.2">
      <c r="A26" s="245"/>
      <c r="B26" s="1629"/>
      <c r="C26" s="1625"/>
      <c r="D26" s="1629"/>
      <c r="E26" s="1625"/>
      <c r="F26" s="1626"/>
      <c r="G26" s="861"/>
      <c r="H26" s="1682"/>
      <c r="I26" s="1694">
        <f t="shared" si="1"/>
        <v>0</v>
      </c>
    </row>
    <row r="27" spans="1:9" x14ac:dyDescent="0.2">
      <c r="A27" s="245"/>
      <c r="B27" s="1629"/>
      <c r="C27" s="1625"/>
      <c r="D27" s="1629"/>
      <c r="E27" s="1625"/>
      <c r="F27" s="1626"/>
      <c r="G27" s="861"/>
      <c r="H27" s="1682"/>
      <c r="I27" s="1694">
        <f t="shared" si="1"/>
        <v>0</v>
      </c>
    </row>
    <row r="28" spans="1:9" x14ac:dyDescent="0.2">
      <c r="A28" s="245"/>
      <c r="B28" s="1629"/>
      <c r="C28" s="1625"/>
      <c r="D28" s="1629"/>
      <c r="E28" s="1625"/>
      <c r="F28" s="1626"/>
      <c r="G28" s="861"/>
      <c r="H28" s="1682"/>
      <c r="I28" s="1694">
        <f t="shared" si="1"/>
        <v>0</v>
      </c>
    </row>
    <row r="29" spans="1:9" x14ac:dyDescent="0.2">
      <c r="A29" s="245"/>
      <c r="B29" s="1629"/>
      <c r="C29" s="1625"/>
      <c r="D29" s="1629"/>
      <c r="E29" s="1625"/>
      <c r="F29" s="1626"/>
      <c r="G29" s="861"/>
      <c r="H29" s="1682"/>
      <c r="I29" s="1694">
        <f t="shared" si="1"/>
        <v>0</v>
      </c>
    </row>
    <row r="30" spans="1:9" x14ac:dyDescent="0.2">
      <c r="A30" s="245"/>
      <c r="B30" s="1629"/>
      <c r="C30" s="1625"/>
      <c r="D30" s="1629"/>
      <c r="E30" s="1625"/>
      <c r="F30" s="1626"/>
      <c r="G30" s="861"/>
      <c r="H30" s="1682"/>
      <c r="I30" s="1694">
        <f t="shared" si="1"/>
        <v>0</v>
      </c>
    </row>
    <row r="31" spans="1:9" ht="15.75" thickBot="1" x14ac:dyDescent="0.25">
      <c r="A31" s="316"/>
      <c r="B31" s="320"/>
      <c r="C31" s="318"/>
      <c r="D31" s="320"/>
      <c r="E31" s="318"/>
      <c r="F31" s="319"/>
      <c r="G31" s="862"/>
      <c r="H31" s="1680"/>
      <c r="I31" s="1695">
        <f t="shared" si="1"/>
        <v>0</v>
      </c>
    </row>
    <row r="32" spans="1:9" ht="15.75" thickBot="1" x14ac:dyDescent="0.25">
      <c r="A32" s="302"/>
      <c r="B32" s="303"/>
      <c r="C32" s="303"/>
      <c r="D32" s="303"/>
      <c r="E32" s="303"/>
      <c r="F32" s="303"/>
      <c r="G32" s="303"/>
      <c r="H32" s="1684" t="s">
        <v>604</v>
      </c>
      <c r="I32" s="1556">
        <f>SUM(I22:I31)</f>
        <v>0</v>
      </c>
    </row>
    <row r="33" spans="1:9" ht="16.5" thickTop="1" thickBot="1" x14ac:dyDescent="0.25">
      <c r="A33" s="1627"/>
      <c r="B33" s="1628"/>
      <c r="C33" s="1628"/>
      <c r="D33" s="1628"/>
      <c r="E33" s="1628"/>
      <c r="F33" s="1628"/>
      <c r="G33" s="1628"/>
      <c r="H33" s="1665" t="s">
        <v>311</v>
      </c>
      <c r="I33" s="1696"/>
    </row>
    <row r="34" spans="1:9" ht="15.75" thickTop="1" x14ac:dyDescent="0.2">
      <c r="A34" s="595"/>
      <c r="B34" s="2"/>
      <c r="C34" s="2"/>
      <c r="D34" s="2"/>
      <c r="E34" s="2"/>
      <c r="F34" s="2"/>
      <c r="G34" s="2"/>
      <c r="H34" s="2"/>
      <c r="I34" s="940"/>
    </row>
    <row r="35" spans="1:9" x14ac:dyDescent="0.2">
      <c r="A35" s="242" t="s">
        <v>69</v>
      </c>
      <c r="B35" s="1016"/>
      <c r="C35" s="221"/>
      <c r="D35" s="221"/>
      <c r="E35" s="221"/>
      <c r="F35" s="221"/>
      <c r="G35" s="221"/>
      <c r="H35" s="221"/>
      <c r="I35" s="855"/>
    </row>
    <row r="36" spans="1:9" ht="45" x14ac:dyDescent="0.2">
      <c r="A36" s="1635" t="s">
        <v>309</v>
      </c>
      <c r="B36" s="864" t="s">
        <v>4</v>
      </c>
      <c r="C36" s="1137" t="s">
        <v>38</v>
      </c>
      <c r="D36" s="863"/>
      <c r="E36" s="1624" t="s">
        <v>70</v>
      </c>
      <c r="F36" s="1624" t="s">
        <v>71</v>
      </c>
      <c r="G36" s="1624" t="s">
        <v>72</v>
      </c>
      <c r="H36" s="1624" t="s">
        <v>373</v>
      </c>
      <c r="I36" s="852" t="s">
        <v>6</v>
      </c>
    </row>
    <row r="37" spans="1:9" x14ac:dyDescent="0.2">
      <c r="A37" s="315"/>
      <c r="B37" s="1017"/>
      <c r="C37" s="270"/>
      <c r="D37" s="271"/>
      <c r="E37" s="333"/>
      <c r="F37" s="333"/>
      <c r="G37" s="264"/>
      <c r="H37" s="1697"/>
      <c r="I37" s="1698">
        <f>H37*F37</f>
        <v>0</v>
      </c>
    </row>
    <row r="38" spans="1:9" x14ac:dyDescent="0.2">
      <c r="A38" s="245"/>
      <c r="B38" s="1629"/>
      <c r="C38" s="1625"/>
      <c r="D38" s="1626"/>
      <c r="E38" s="331"/>
      <c r="F38" s="331"/>
      <c r="G38" s="240"/>
      <c r="H38" s="1682"/>
      <c r="I38" s="1699">
        <f t="shared" ref="I38:I43" si="2">H38*F38</f>
        <v>0</v>
      </c>
    </row>
    <row r="39" spans="1:9" x14ac:dyDescent="0.2">
      <c r="A39" s="245"/>
      <c r="B39" s="1629"/>
      <c r="C39" s="1625"/>
      <c r="D39" s="1626"/>
      <c r="E39" s="331"/>
      <c r="F39" s="331"/>
      <c r="G39" s="240"/>
      <c r="H39" s="1682"/>
      <c r="I39" s="1699">
        <f t="shared" si="2"/>
        <v>0</v>
      </c>
    </row>
    <row r="40" spans="1:9" x14ac:dyDescent="0.2">
      <c r="A40" s="245"/>
      <c r="B40" s="1629"/>
      <c r="C40" s="1625"/>
      <c r="D40" s="1626"/>
      <c r="E40" s="331"/>
      <c r="F40" s="331"/>
      <c r="G40" s="240"/>
      <c r="H40" s="1682"/>
      <c r="I40" s="1699">
        <f t="shared" si="2"/>
        <v>0</v>
      </c>
    </row>
    <row r="41" spans="1:9" x14ac:dyDescent="0.2">
      <c r="A41" s="245"/>
      <c r="B41" s="1629"/>
      <c r="C41" s="1625"/>
      <c r="D41" s="1626"/>
      <c r="E41" s="331"/>
      <c r="F41" s="331"/>
      <c r="G41" s="240"/>
      <c r="H41" s="1682"/>
      <c r="I41" s="1699">
        <f t="shared" si="2"/>
        <v>0</v>
      </c>
    </row>
    <row r="42" spans="1:9" x14ac:dyDescent="0.2">
      <c r="A42" s="245"/>
      <c r="B42" s="1629"/>
      <c r="C42" s="1625"/>
      <c r="D42" s="1626"/>
      <c r="E42" s="331"/>
      <c r="F42" s="331"/>
      <c r="G42" s="240"/>
      <c r="H42" s="1682"/>
      <c r="I42" s="1699">
        <f t="shared" si="2"/>
        <v>0</v>
      </c>
    </row>
    <row r="43" spans="1:9" x14ac:dyDescent="0.2">
      <c r="A43" s="245"/>
      <c r="B43" s="1629"/>
      <c r="C43" s="1625"/>
      <c r="D43" s="1626"/>
      <c r="E43" s="331"/>
      <c r="F43" s="331"/>
      <c r="G43" s="240"/>
      <c r="H43" s="1682"/>
      <c r="I43" s="1699">
        <f t="shared" si="2"/>
        <v>0</v>
      </c>
    </row>
    <row r="44" spans="1:9" x14ac:dyDescent="0.2">
      <c r="A44" s="245"/>
      <c r="B44" s="1629"/>
      <c r="C44" s="1625"/>
      <c r="D44" s="1626"/>
      <c r="E44" s="331"/>
      <c r="F44" s="331"/>
      <c r="G44" s="240"/>
      <c r="H44" s="1682"/>
      <c r="I44" s="1699">
        <f>H44*F44</f>
        <v>0</v>
      </c>
    </row>
    <row r="45" spans="1:9" x14ac:dyDescent="0.2">
      <c r="A45" s="245"/>
      <c r="B45" s="1629"/>
      <c r="C45" s="1625"/>
      <c r="D45" s="1626"/>
      <c r="E45" s="331"/>
      <c r="F45" s="331"/>
      <c r="G45" s="240"/>
      <c r="H45" s="1682"/>
      <c r="I45" s="1699">
        <f>H45*F45</f>
        <v>0</v>
      </c>
    </row>
    <row r="46" spans="1:9" ht="15.75" thickBot="1" x14ac:dyDescent="0.25">
      <c r="A46" s="300"/>
      <c r="B46" s="983"/>
      <c r="C46" s="305"/>
      <c r="D46" s="307"/>
      <c r="E46" s="332"/>
      <c r="F46" s="332"/>
      <c r="G46" s="301"/>
      <c r="H46" s="1700"/>
      <c r="I46" s="1701">
        <f>H46*F46</f>
        <v>0</v>
      </c>
    </row>
    <row r="47" spans="1:9" ht="15.75" thickBot="1" x14ac:dyDescent="0.25">
      <c r="A47" s="302"/>
      <c r="B47" s="303"/>
      <c r="C47" s="303"/>
      <c r="D47" s="303"/>
      <c r="E47" s="303"/>
      <c r="F47" s="303"/>
      <c r="G47" s="303"/>
      <c r="H47" s="1684" t="s">
        <v>598</v>
      </c>
      <c r="I47" s="1702">
        <f>SUM(I37:I46)</f>
        <v>0</v>
      </c>
    </row>
    <row r="48" spans="1:9" ht="16.5" thickTop="1" thickBot="1" x14ac:dyDescent="0.25">
      <c r="A48" s="197"/>
      <c r="B48" s="139"/>
      <c r="C48" s="139"/>
      <c r="D48" s="139"/>
      <c r="E48" s="139"/>
      <c r="F48" s="139"/>
      <c r="G48" s="139"/>
      <c r="H48" s="1665" t="s">
        <v>311</v>
      </c>
      <c r="I48" s="1696"/>
    </row>
    <row r="49" spans="1:9" ht="16.5" thickTop="1" thickBot="1" x14ac:dyDescent="0.25">
      <c r="A49" s="128"/>
      <c r="B49" s="1619"/>
      <c r="C49" s="1619"/>
      <c r="D49" s="1619"/>
      <c r="E49" s="1619"/>
      <c r="F49" s="1619"/>
      <c r="G49" s="1619"/>
      <c r="H49" s="233" t="s">
        <v>599</v>
      </c>
      <c r="I49" s="1438">
        <f>I17+IF(AND(I32&gt;0,I17&gt;0),0,I32)+I47</f>
        <v>0</v>
      </c>
    </row>
    <row r="50" spans="1:9" ht="16.5" thickTop="1" thickBot="1" x14ac:dyDescent="0.25">
      <c r="A50" s="197"/>
      <c r="B50" s="139"/>
      <c r="C50" s="139"/>
      <c r="D50" s="139"/>
      <c r="E50" s="139"/>
      <c r="F50" s="139"/>
      <c r="G50" s="139"/>
      <c r="H50" s="1628" t="s">
        <v>311</v>
      </c>
      <c r="I50" s="1582">
        <f>I18+IF(AND(I33&gt;0,I18&gt;0),0,I33)+I48</f>
        <v>0</v>
      </c>
    </row>
    <row r="51" spans="1:9" ht="15.75" thickTop="1" x14ac:dyDescent="0.2">
      <c r="A51" s="128"/>
      <c r="B51" s="1619"/>
      <c r="C51" s="1619"/>
      <c r="D51" s="1619"/>
      <c r="E51" s="1619"/>
      <c r="F51" s="1619"/>
      <c r="G51" s="1619"/>
      <c r="H51" s="834"/>
      <c r="I51" s="1434"/>
    </row>
    <row r="52" spans="1:9" x14ac:dyDescent="0.2">
      <c r="A52" s="242" t="s">
        <v>596</v>
      </c>
      <c r="B52" s="1432"/>
      <c r="C52" s="221"/>
      <c r="D52" s="221"/>
      <c r="E52" s="221"/>
      <c r="F52" s="221"/>
      <c r="G52" s="221"/>
      <c r="H52" s="858"/>
      <c r="I52" s="855"/>
    </row>
    <row r="53" spans="1:9" ht="45" x14ac:dyDescent="0.2">
      <c r="A53" s="1635" t="s">
        <v>309</v>
      </c>
      <c r="B53" s="984" t="s">
        <v>4</v>
      </c>
      <c r="C53" s="1137" t="s">
        <v>381</v>
      </c>
      <c r="D53" s="1138"/>
      <c r="E53" s="1624" t="s">
        <v>73</v>
      </c>
      <c r="F53" s="1624" t="s">
        <v>74</v>
      </c>
      <c r="G53" s="1624" t="s">
        <v>75</v>
      </c>
      <c r="H53" s="865" t="s">
        <v>374</v>
      </c>
      <c r="I53" s="852" t="s">
        <v>41</v>
      </c>
    </row>
    <row r="54" spans="1:9" x14ac:dyDescent="0.2">
      <c r="A54" s="244"/>
      <c r="B54" s="1002"/>
      <c r="C54" s="248"/>
      <c r="D54" s="252"/>
      <c r="E54" s="241"/>
      <c r="F54" s="241"/>
      <c r="G54" s="241"/>
      <c r="H54" s="1686"/>
      <c r="I54" s="1703">
        <f>H54*G54</f>
        <v>0</v>
      </c>
    </row>
    <row r="55" spans="1:9" x14ac:dyDescent="0.2">
      <c r="A55" s="245"/>
      <c r="B55" s="1629"/>
      <c r="C55" s="1625"/>
      <c r="D55" s="253"/>
      <c r="E55" s="1625"/>
      <c r="F55" s="240"/>
      <c r="G55" s="240"/>
      <c r="H55" s="1682"/>
      <c r="I55" s="1703">
        <f t="shared" ref="I55:I63" si="3">H55*G55</f>
        <v>0</v>
      </c>
    </row>
    <row r="56" spans="1:9" x14ac:dyDescent="0.2">
      <c r="A56" s="245"/>
      <c r="B56" s="1629"/>
      <c r="C56" s="1625"/>
      <c r="D56" s="253"/>
      <c r="E56" s="1625"/>
      <c r="F56" s="240"/>
      <c r="G56" s="240"/>
      <c r="H56" s="1682"/>
      <c r="I56" s="1703">
        <f t="shared" si="3"/>
        <v>0</v>
      </c>
    </row>
    <row r="57" spans="1:9" x14ac:dyDescent="0.2">
      <c r="A57" s="245"/>
      <c r="B57" s="1629"/>
      <c r="C57" s="1625"/>
      <c r="D57" s="253"/>
      <c r="E57" s="1625"/>
      <c r="F57" s="240"/>
      <c r="G57" s="240"/>
      <c r="H57" s="1682"/>
      <c r="I57" s="1703">
        <f t="shared" si="3"/>
        <v>0</v>
      </c>
    </row>
    <row r="58" spans="1:9" x14ac:dyDescent="0.2">
      <c r="A58" s="245"/>
      <c r="B58" s="1629"/>
      <c r="C58" s="1625"/>
      <c r="D58" s="253"/>
      <c r="E58" s="1625"/>
      <c r="F58" s="240"/>
      <c r="G58" s="240"/>
      <c r="H58" s="1682"/>
      <c r="I58" s="1703">
        <f t="shared" si="3"/>
        <v>0</v>
      </c>
    </row>
    <row r="59" spans="1:9" x14ac:dyDescent="0.2">
      <c r="A59" s="245"/>
      <c r="B59" s="1629"/>
      <c r="C59" s="1625"/>
      <c r="D59" s="253"/>
      <c r="E59" s="1625"/>
      <c r="F59" s="240"/>
      <c r="G59" s="240"/>
      <c r="H59" s="1682"/>
      <c r="I59" s="1703">
        <f t="shared" si="3"/>
        <v>0</v>
      </c>
    </row>
    <row r="60" spans="1:9" x14ac:dyDescent="0.2">
      <c r="A60" s="245"/>
      <c r="B60" s="1629"/>
      <c r="C60" s="1625"/>
      <c r="D60" s="253"/>
      <c r="E60" s="1625"/>
      <c r="F60" s="240"/>
      <c r="G60" s="240"/>
      <c r="H60" s="1682"/>
      <c r="I60" s="1703">
        <f t="shared" si="3"/>
        <v>0</v>
      </c>
    </row>
    <row r="61" spans="1:9" x14ac:dyDescent="0.2">
      <c r="A61" s="245"/>
      <c r="B61" s="1629"/>
      <c r="C61" s="1625"/>
      <c r="D61" s="253"/>
      <c r="E61" s="1625"/>
      <c r="F61" s="240"/>
      <c r="G61" s="240"/>
      <c r="H61" s="1682"/>
      <c r="I61" s="1703">
        <f t="shared" si="3"/>
        <v>0</v>
      </c>
    </row>
    <row r="62" spans="1:9" x14ac:dyDescent="0.2">
      <c r="A62" s="245"/>
      <c r="B62" s="1629"/>
      <c r="C62" s="1625"/>
      <c r="D62" s="253"/>
      <c r="E62" s="1625"/>
      <c r="F62" s="240"/>
      <c r="G62" s="240"/>
      <c r="H62" s="1682"/>
      <c r="I62" s="1703">
        <f t="shared" si="3"/>
        <v>0</v>
      </c>
    </row>
    <row r="63" spans="1:9" ht="15.75" thickBot="1" x14ac:dyDescent="0.25">
      <c r="A63" s="316"/>
      <c r="B63" s="320"/>
      <c r="C63" s="318"/>
      <c r="D63" s="321"/>
      <c r="E63" s="318"/>
      <c r="F63" s="301"/>
      <c r="G63" s="317"/>
      <c r="H63" s="1680"/>
      <c r="I63" s="1703">
        <f t="shared" si="3"/>
        <v>0</v>
      </c>
    </row>
    <row r="64" spans="1:9" ht="15.75" thickBot="1" x14ac:dyDescent="0.25">
      <c r="A64" s="302"/>
      <c r="B64" s="303"/>
      <c r="C64" s="303"/>
      <c r="D64" s="303"/>
      <c r="E64" s="303"/>
      <c r="F64" s="322"/>
      <c r="G64" s="303"/>
      <c r="H64" s="1684" t="s">
        <v>597</v>
      </c>
      <c r="I64" s="1556">
        <f>SUM(I54:I63)</f>
        <v>0</v>
      </c>
    </row>
    <row r="65" spans="1:9" ht="16.5" thickTop="1" thickBot="1" x14ac:dyDescent="0.25">
      <c r="A65" s="225"/>
      <c r="B65" s="229"/>
      <c r="C65" s="229"/>
      <c r="D65" s="229"/>
      <c r="E65" s="229"/>
      <c r="F65" s="256"/>
      <c r="G65" s="229"/>
      <c r="H65" s="1704" t="s">
        <v>311</v>
      </c>
      <c r="I65" s="1705"/>
    </row>
    <row r="66" spans="1:9" x14ac:dyDescent="0.2">
      <c r="A66" s="474"/>
      <c r="B66" s="475"/>
      <c r="C66" s="475"/>
      <c r="D66" s="475"/>
      <c r="E66" s="475"/>
      <c r="F66" s="475"/>
      <c r="G66" s="475"/>
      <c r="H66" s="1435" t="s">
        <v>602</v>
      </c>
      <c r="I66" s="1677">
        <f>I49+I64</f>
        <v>0</v>
      </c>
    </row>
    <row r="67" spans="1:9" ht="15.75" thickBot="1" x14ac:dyDescent="0.25">
      <c r="A67" s="1627"/>
      <c r="B67" s="1628"/>
      <c r="C67" s="1628"/>
      <c r="D67" s="1628"/>
      <c r="E67" s="1628"/>
      <c r="F67" s="1628"/>
      <c r="G67" s="1628"/>
      <c r="H67" s="1433" t="s">
        <v>311</v>
      </c>
      <c r="I67" s="1706">
        <f>I50+I65</f>
        <v>0</v>
      </c>
    </row>
    <row r="68" spans="1:9" ht="15.75" thickTop="1" x14ac:dyDescent="0.2">
      <c r="I68" s="218"/>
    </row>
    <row r="69" spans="1:9" x14ac:dyDescent="0.2">
      <c r="I69" s="218"/>
    </row>
    <row r="70" spans="1:9" x14ac:dyDescent="0.2">
      <c r="I70" s="218"/>
    </row>
    <row r="71" spans="1:9" x14ac:dyDescent="0.2">
      <c r="I71" s="218"/>
    </row>
    <row r="72" spans="1:9" x14ac:dyDescent="0.2">
      <c r="I72" s="218"/>
    </row>
    <row r="73" spans="1:9" x14ac:dyDescent="0.2">
      <c r="I73" s="218"/>
    </row>
    <row r="74" spans="1:9" x14ac:dyDescent="0.2">
      <c r="I74" s="218"/>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C3"/>
  </mergeCells>
  <phoneticPr fontId="0" type="noConversion"/>
  <pageMargins left="0.94488188976377963" right="0.55118110236220474" top="0.98425196850393704" bottom="0.98425196850393704" header="0.51181102362204722" footer="0.51181102362204722"/>
  <pageSetup paperSize="9" scale="67" orientation="portrait" horizontalDpi="4294967293" verticalDpi="200" r:id="rId2"/>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J25"/>
  <sheetViews>
    <sheetView zoomScaleNormal="100" zoomScaleSheetLayoutView="75" workbookViewId="0">
      <selection activeCell="D3" sqref="D3"/>
    </sheetView>
  </sheetViews>
  <sheetFormatPr defaultRowHeight="15" x14ac:dyDescent="0.2"/>
  <cols>
    <col min="1" max="1" width="6.5546875" customWidth="1"/>
    <col min="2" max="2" width="11.33203125" customWidth="1"/>
    <col min="3" max="3" width="15" customWidth="1"/>
    <col min="6" max="6" width="13.44140625" customWidth="1"/>
    <col min="10" max="10" width="10.77734375" customWidth="1"/>
  </cols>
  <sheetData>
    <row r="1" spans="1:10" ht="18.75" thickTop="1" x14ac:dyDescent="0.2">
      <c r="A1" s="1581" t="s">
        <v>77</v>
      </c>
      <c r="B1" s="989"/>
      <c r="C1" s="219"/>
      <c r="D1" s="219"/>
      <c r="E1" s="219"/>
      <c r="F1" s="219"/>
      <c r="G1" s="219"/>
      <c r="H1" s="219"/>
      <c r="I1" s="219"/>
      <c r="J1" s="220"/>
    </row>
    <row r="2" spans="1:10" ht="15.75" x14ac:dyDescent="0.2">
      <c r="A2" s="246" t="s">
        <v>189</v>
      </c>
      <c r="B2" s="485"/>
      <c r="C2" s="124"/>
      <c r="D2" s="124"/>
      <c r="E2" s="124"/>
      <c r="F2" s="124"/>
      <c r="G2" s="124"/>
      <c r="H2" s="124"/>
      <c r="I2" s="124"/>
      <c r="J2" s="130"/>
    </row>
    <row r="3" spans="1:10" ht="15.75" x14ac:dyDescent="0.2">
      <c r="A3" s="2036" t="s">
        <v>310</v>
      </c>
      <c r="B3" s="2044"/>
      <c r="C3" s="2044"/>
      <c r="D3" s="1640">
        <f>'Input Data'!D29</f>
        <v>0</v>
      </c>
      <c r="E3" s="124"/>
      <c r="F3" s="124"/>
      <c r="G3" s="255" t="s">
        <v>251</v>
      </c>
      <c r="H3" s="1027">
        <f>'Input Data'!D6</f>
        <v>0</v>
      </c>
      <c r="I3" s="124"/>
      <c r="J3" s="130"/>
    </row>
    <row r="4" spans="1:10" ht="15.75" thickBot="1" x14ac:dyDescent="0.25">
      <c r="A4" s="197"/>
      <c r="B4" s="139"/>
      <c r="C4" s="139"/>
      <c r="D4" s="139"/>
      <c r="E4" s="139"/>
      <c r="F4" s="139"/>
      <c r="G4" s="139"/>
      <c r="H4" s="139"/>
      <c r="I4" s="139"/>
      <c r="J4" s="198"/>
    </row>
    <row r="5" spans="1:10" ht="15.75" thickTop="1" x14ac:dyDescent="0.2">
      <c r="A5" s="128"/>
      <c r="B5" s="124"/>
      <c r="C5" s="124"/>
      <c r="D5" s="124"/>
      <c r="E5" s="124"/>
      <c r="F5" s="124"/>
      <c r="G5" s="124"/>
      <c r="H5" s="124"/>
      <c r="I5" s="124"/>
      <c r="J5" s="130"/>
    </row>
    <row r="6" spans="1:10" x14ac:dyDescent="0.2">
      <c r="A6" s="230" t="s">
        <v>78</v>
      </c>
      <c r="B6" s="1000"/>
      <c r="C6" s="221"/>
      <c r="D6" s="221"/>
      <c r="E6" s="221"/>
      <c r="F6" s="221"/>
      <c r="G6" s="221"/>
      <c r="H6" s="221"/>
      <c r="I6" s="221"/>
      <c r="J6" s="222"/>
    </row>
    <row r="7" spans="1:10" ht="31.5" x14ac:dyDescent="0.2">
      <c r="A7" s="1635" t="s">
        <v>309</v>
      </c>
      <c r="B7" s="1592" t="s">
        <v>4</v>
      </c>
      <c r="C7" s="2181" t="s">
        <v>657</v>
      </c>
      <c r="D7" s="2182"/>
      <c r="E7" s="2183"/>
      <c r="F7" s="1593" t="s">
        <v>79</v>
      </c>
      <c r="G7" s="2181" t="s">
        <v>381</v>
      </c>
      <c r="H7" s="2182"/>
      <c r="I7" s="2183"/>
      <c r="J7" s="1594" t="s">
        <v>41</v>
      </c>
    </row>
    <row r="8" spans="1:10" x14ac:dyDescent="0.2">
      <c r="A8" s="257"/>
      <c r="B8" s="1018"/>
      <c r="C8" s="2171"/>
      <c r="D8" s="2184"/>
      <c r="E8" s="2172"/>
      <c r="F8" s="258"/>
      <c r="G8" s="2171"/>
      <c r="H8" s="2184"/>
      <c r="I8" s="2172"/>
      <c r="J8" s="1707"/>
    </row>
    <row r="9" spans="1:10" x14ac:dyDescent="0.2">
      <c r="A9" s="245"/>
      <c r="B9" s="238"/>
      <c r="C9" s="2167"/>
      <c r="D9" s="2180"/>
      <c r="E9" s="2168"/>
      <c r="F9" s="240"/>
      <c r="G9" s="2167"/>
      <c r="H9" s="2180"/>
      <c r="I9" s="2168"/>
      <c r="J9" s="1568"/>
    </row>
    <row r="10" spans="1:10" x14ac:dyDescent="0.2">
      <c r="A10" s="245"/>
      <c r="B10" s="238"/>
      <c r="C10" s="2167"/>
      <c r="D10" s="2180"/>
      <c r="E10" s="2168"/>
      <c r="F10" s="240"/>
      <c r="G10" s="2167"/>
      <c r="H10" s="2180"/>
      <c r="I10" s="2168"/>
      <c r="J10" s="1568"/>
    </row>
    <row r="11" spans="1:10" x14ac:dyDescent="0.2">
      <c r="A11" s="245"/>
      <c r="B11" s="238"/>
      <c r="C11" s="2167"/>
      <c r="D11" s="2180"/>
      <c r="E11" s="2168"/>
      <c r="F11" s="240"/>
      <c r="G11" s="2167"/>
      <c r="H11" s="2180"/>
      <c r="I11" s="2168"/>
      <c r="J11" s="1568"/>
    </row>
    <row r="12" spans="1:10" x14ac:dyDescent="0.2">
      <c r="A12" s="245"/>
      <c r="B12" s="238"/>
      <c r="C12" s="2167"/>
      <c r="D12" s="2180"/>
      <c r="E12" s="2168"/>
      <c r="F12" s="240"/>
      <c r="G12" s="2167"/>
      <c r="H12" s="2180"/>
      <c r="I12" s="2168"/>
      <c r="J12" s="1568"/>
    </row>
    <row r="13" spans="1:10" x14ac:dyDescent="0.2">
      <c r="A13" s="245"/>
      <c r="B13" s="238"/>
      <c r="C13" s="2167"/>
      <c r="D13" s="2180"/>
      <c r="E13" s="2168"/>
      <c r="F13" s="240"/>
      <c r="G13" s="2167"/>
      <c r="H13" s="2180"/>
      <c r="I13" s="2168"/>
      <c r="J13" s="1568"/>
    </row>
    <row r="14" spans="1:10" x14ac:dyDescent="0.2">
      <c r="A14" s="245"/>
      <c r="B14" s="238"/>
      <c r="C14" s="2167"/>
      <c r="D14" s="2180"/>
      <c r="E14" s="2168"/>
      <c r="F14" s="240"/>
      <c r="G14" s="2167"/>
      <c r="H14" s="2180"/>
      <c r="I14" s="2168"/>
      <c r="J14" s="1568"/>
    </row>
    <row r="15" spans="1:10" x14ac:dyDescent="0.2">
      <c r="A15" s="245"/>
      <c r="B15" s="238"/>
      <c r="C15" s="2167"/>
      <c r="D15" s="2180"/>
      <c r="E15" s="2168"/>
      <c r="F15" s="240"/>
      <c r="G15" s="2167"/>
      <c r="H15" s="2180"/>
      <c r="I15" s="2168"/>
      <c r="J15" s="1568"/>
    </row>
    <row r="16" spans="1:10" x14ac:dyDescent="0.2">
      <c r="A16" s="245"/>
      <c r="B16" s="238"/>
      <c r="C16" s="2167"/>
      <c r="D16" s="2180"/>
      <c r="E16" s="2168"/>
      <c r="F16" s="240"/>
      <c r="G16" s="2167"/>
      <c r="H16" s="2180"/>
      <c r="I16" s="2168"/>
      <c r="J16" s="1568"/>
    </row>
    <row r="17" spans="1:10" ht="15.75" thickBot="1" x14ac:dyDescent="0.25">
      <c r="A17" s="259"/>
      <c r="B17" s="987"/>
      <c r="C17" s="2176"/>
      <c r="D17" s="2185"/>
      <c r="E17" s="2177"/>
      <c r="F17" s="260"/>
      <c r="G17" s="2176"/>
      <c r="H17" s="2185"/>
      <c r="I17" s="2177"/>
      <c r="J17" s="1708"/>
    </row>
    <row r="18" spans="1:10" x14ac:dyDescent="0.2">
      <c r="A18" s="302"/>
      <c r="B18" s="303"/>
      <c r="C18" s="303"/>
      <c r="D18" s="303"/>
      <c r="E18" s="303"/>
      <c r="F18" s="303"/>
      <c r="G18" s="303"/>
      <c r="H18" s="303"/>
      <c r="I18" s="712" t="s">
        <v>656</v>
      </c>
      <c r="J18" s="1677">
        <f>SUM(J8:J17)</f>
        <v>0</v>
      </c>
    </row>
    <row r="19" spans="1:10" ht="15.75" thickBot="1" x14ac:dyDescent="0.25">
      <c r="A19" s="128"/>
      <c r="B19" s="124"/>
      <c r="C19" s="124"/>
      <c r="D19" s="124"/>
      <c r="E19" s="124"/>
      <c r="F19" s="124"/>
      <c r="G19" s="124"/>
      <c r="H19" s="124"/>
      <c r="I19" s="713" t="s">
        <v>368</v>
      </c>
      <c r="J19" s="1709"/>
    </row>
    <row r="20" spans="1:10" ht="16.5" thickTop="1" thickBot="1" x14ac:dyDescent="0.25">
      <c r="A20" s="128"/>
      <c r="B20" s="124"/>
      <c r="C20" s="124"/>
      <c r="D20" s="124"/>
      <c r="E20" s="124"/>
      <c r="F20" s="124"/>
      <c r="G20" s="124"/>
      <c r="H20" s="124"/>
      <c r="I20" s="714" t="s">
        <v>369</v>
      </c>
      <c r="J20" s="1710">
        <f>J18-J19</f>
        <v>0</v>
      </c>
    </row>
    <row r="21" spans="1:10" x14ac:dyDescent="0.2">
      <c r="A21" s="323" t="s">
        <v>82</v>
      </c>
      <c r="B21" s="1019"/>
      <c r="C21" s="276"/>
      <c r="D21" s="276"/>
      <c r="E21" s="276"/>
      <c r="F21" s="276"/>
      <c r="G21" s="276"/>
      <c r="H21" s="276"/>
      <c r="I21" s="276"/>
      <c r="J21" s="324"/>
    </row>
    <row r="22" spans="1:10" x14ac:dyDescent="0.2">
      <c r="A22" s="236" t="s">
        <v>83</v>
      </c>
      <c r="B22" s="226"/>
      <c r="C22" s="124" t="s">
        <v>80</v>
      </c>
      <c r="D22" s="124"/>
      <c r="E22" s="226" t="s">
        <v>84</v>
      </c>
      <c r="F22" s="124" t="s">
        <v>81</v>
      </c>
      <c r="G22" s="226"/>
      <c r="H22" s="261" t="s">
        <v>85</v>
      </c>
      <c r="I22" s="124"/>
      <c r="J22" s="157"/>
    </row>
    <row r="23" spans="1:10" x14ac:dyDescent="0.2">
      <c r="A23" s="236" t="s">
        <v>86</v>
      </c>
      <c r="B23" s="226"/>
      <c r="C23" s="124" t="s">
        <v>87</v>
      </c>
      <c r="D23" s="124"/>
      <c r="E23" s="226" t="s">
        <v>88</v>
      </c>
      <c r="F23" s="124" t="s">
        <v>89</v>
      </c>
      <c r="G23" s="226"/>
      <c r="H23" s="226" t="s">
        <v>90</v>
      </c>
      <c r="I23" s="124"/>
      <c r="J23" s="157"/>
    </row>
    <row r="24" spans="1:10" ht="15.75" thickBot="1" x14ac:dyDescent="0.25">
      <c r="A24" s="197"/>
      <c r="B24" s="139"/>
      <c r="C24" s="139"/>
      <c r="D24" s="139"/>
      <c r="E24" s="139"/>
      <c r="F24" s="139"/>
      <c r="G24" s="139"/>
      <c r="H24" s="139"/>
      <c r="I24" s="139"/>
      <c r="J24" s="298"/>
    </row>
    <row r="25" spans="1:10"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C14:E14"/>
    <mergeCell ref="G14:I14"/>
    <mergeCell ref="G10:I10"/>
    <mergeCell ref="C11:E11"/>
    <mergeCell ref="G11:I11"/>
    <mergeCell ref="C13:E13"/>
    <mergeCell ref="C12:E12"/>
    <mergeCell ref="G12:I12"/>
    <mergeCell ref="C10:E10"/>
    <mergeCell ref="C17:E17"/>
    <mergeCell ref="G17:I17"/>
    <mergeCell ref="C15:E15"/>
    <mergeCell ref="G15:I15"/>
    <mergeCell ref="C16:E16"/>
    <mergeCell ref="G16:I16"/>
    <mergeCell ref="C9:E9"/>
    <mergeCell ref="G9:I9"/>
    <mergeCell ref="G13:I13"/>
    <mergeCell ref="A3:C3"/>
    <mergeCell ref="C7:E7"/>
    <mergeCell ref="G7:I7"/>
    <mergeCell ref="C8:E8"/>
    <mergeCell ref="G8:I8"/>
  </mergeCells>
  <phoneticPr fontId="0" type="noConversion"/>
  <printOptions horizontalCentered="1"/>
  <pageMargins left="0.74803149606299213" right="0.55118110236220474" top="0.78740157480314965" bottom="0.78740157480314965" header="0.51181102362204722" footer="0.51181102362204722"/>
  <pageSetup paperSize="9" scale="80" orientation="landscape"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P117"/>
  <sheetViews>
    <sheetView topLeftCell="A25" zoomScale="70" zoomScaleNormal="70" zoomScaleSheetLayoutView="70" workbookViewId="0">
      <selection activeCell="D6" sqref="D6"/>
    </sheetView>
  </sheetViews>
  <sheetFormatPr defaultRowHeight="15" x14ac:dyDescent="0.2"/>
  <cols>
    <col min="1" max="1" width="18.33203125" customWidth="1"/>
    <col min="2" max="2" width="3.88671875" customWidth="1"/>
    <col min="3" max="3" width="11.5546875" customWidth="1"/>
    <col min="4" max="4" width="27.77734375" customWidth="1"/>
    <col min="5" max="5" width="19.109375" customWidth="1"/>
    <col min="6" max="6" width="21" customWidth="1"/>
    <col min="7" max="7" width="18.6640625" customWidth="1"/>
    <col min="8" max="8" width="16.44140625" customWidth="1"/>
    <col min="9" max="9" width="6.88671875" customWidth="1"/>
    <col min="10" max="10" width="8.33203125" customWidth="1"/>
    <col min="13" max="13" width="10.33203125" customWidth="1"/>
  </cols>
  <sheetData>
    <row r="1" spans="1:8" ht="69.75" customHeight="1" thickTop="1" thickBot="1" x14ac:dyDescent="0.25">
      <c r="A1" s="1738" t="s">
        <v>474</v>
      </c>
      <c r="B1" s="1739"/>
      <c r="C1" s="1739"/>
      <c r="D1" s="1739"/>
      <c r="E1" s="1739"/>
      <c r="F1" s="1739"/>
      <c r="G1" s="1739"/>
      <c r="H1" s="1740"/>
    </row>
    <row r="2" spans="1:8" ht="46.5" customHeight="1" thickTop="1" x14ac:dyDescent="0.2">
      <c r="A2" s="1128"/>
      <c r="B2" s="478"/>
      <c r="C2" s="478"/>
      <c r="D2" s="478"/>
      <c r="E2" s="1748" t="str">
        <f>CONCATENATE(D9,"  ","")</f>
        <v xml:space="preserve">STRUCTURAL ENGINEERING  </v>
      </c>
      <c r="F2" s="1749"/>
      <c r="G2" s="1749"/>
      <c r="H2" s="1089"/>
    </row>
    <row r="3" spans="1:8" ht="45" customHeight="1" x14ac:dyDescent="0.2">
      <c r="A3" s="1128"/>
      <c r="B3" s="1124"/>
      <c r="C3" s="1124"/>
      <c r="D3" s="1124"/>
      <c r="E3" s="1746" t="str">
        <f>IF(E10="b","USE MULTI-DISCIPLINARY PROJECT INVOICE!!!",CONCATENATE(D10,":  ",D21," NDPW FEES"))</f>
        <v>ENGINEERING PROJECT:  2012 NDPW FEES</v>
      </c>
      <c r="F3" s="1747"/>
      <c r="G3" s="1747"/>
      <c r="H3" s="940"/>
    </row>
    <row r="4" spans="1:8" ht="17.25" customHeight="1" thickBot="1" x14ac:dyDescent="0.25">
      <c r="A4" s="1156"/>
      <c r="B4" s="1124"/>
      <c r="C4" s="1124"/>
      <c r="D4" s="1124"/>
      <c r="E4" s="1129"/>
      <c r="F4" s="1130"/>
      <c r="G4" s="1130"/>
      <c r="H4" s="1598" t="s">
        <v>659</v>
      </c>
    </row>
    <row r="5" spans="1:8" ht="18" customHeight="1" thickTop="1" x14ac:dyDescent="0.2">
      <c r="A5" s="1157"/>
      <c r="B5" s="527"/>
      <c r="C5" s="528" t="s">
        <v>256</v>
      </c>
      <c r="D5" s="1100"/>
      <c r="E5" s="504"/>
      <c r="F5" s="503" t="s">
        <v>255</v>
      </c>
      <c r="G5" s="1758"/>
      <c r="H5" s="1759"/>
    </row>
    <row r="6" spans="1:8" ht="18" customHeight="1" x14ac:dyDescent="0.2">
      <c r="A6" s="1158"/>
      <c r="B6" s="529"/>
      <c r="C6" s="530" t="s">
        <v>257</v>
      </c>
      <c r="D6" s="1101"/>
      <c r="E6" s="505"/>
      <c r="F6" s="1131" t="s">
        <v>201</v>
      </c>
      <c r="G6" s="660"/>
      <c r="H6" s="867"/>
    </row>
    <row r="7" spans="1:8" ht="18" customHeight="1" x14ac:dyDescent="0.2">
      <c r="A7" s="1158"/>
      <c r="B7" s="529"/>
      <c r="C7" s="530" t="s">
        <v>276</v>
      </c>
      <c r="D7" s="656"/>
      <c r="E7" s="505"/>
      <c r="F7" s="174" t="s">
        <v>225</v>
      </c>
      <c r="G7" s="660"/>
      <c r="H7" s="867"/>
    </row>
    <row r="8" spans="1:8" ht="18" customHeight="1" x14ac:dyDescent="0.2">
      <c r="A8" s="1158"/>
      <c r="B8" s="529"/>
      <c r="C8" s="530" t="s">
        <v>200</v>
      </c>
      <c r="D8" s="1102"/>
      <c r="E8" s="505"/>
      <c r="F8" s="24" t="s">
        <v>221</v>
      </c>
      <c r="G8" s="660"/>
      <c r="H8" s="868"/>
    </row>
    <row r="9" spans="1:8" ht="18" customHeight="1" x14ac:dyDescent="0.2">
      <c r="A9" s="1158"/>
      <c r="B9" s="529"/>
      <c r="C9" s="530" t="s">
        <v>267</v>
      </c>
      <c r="D9" s="1775" t="s">
        <v>407</v>
      </c>
      <c r="E9" s="1776"/>
      <c r="F9" s="174" t="s">
        <v>199</v>
      </c>
      <c r="G9" s="1851"/>
      <c r="H9" s="1852"/>
    </row>
    <row r="10" spans="1:8" ht="18" customHeight="1" x14ac:dyDescent="0.2">
      <c r="A10" s="1158"/>
      <c r="B10" s="529"/>
      <c r="C10" s="531" t="s">
        <v>102</v>
      </c>
      <c r="D10" s="414" t="s">
        <v>406</v>
      </c>
      <c r="E10" s="413" t="str">
        <f>IF(D10="MULTI-DISCIPLINARY PROJECT","B","E")</f>
        <v>E</v>
      </c>
      <c r="F10" s="1134"/>
      <c r="G10" s="1134"/>
      <c r="H10" s="130"/>
    </row>
    <row r="11" spans="1:8" ht="18" customHeight="1" x14ac:dyDescent="0.2">
      <c r="A11" s="1159"/>
      <c r="B11" s="866"/>
      <c r="C11" s="869" t="s">
        <v>660</v>
      </c>
      <c r="D11" s="870" t="s">
        <v>397</v>
      </c>
      <c r="E11" s="871" t="str">
        <f>IF($D$11="Yes", "NO OF DAYS","")</f>
        <v/>
      </c>
      <c r="F11" s="872">
        <v>1</v>
      </c>
      <c r="G11" s="873" t="str">
        <f>IF($D$11="Yes", "RATE","")</f>
        <v/>
      </c>
      <c r="H11" s="874"/>
    </row>
    <row r="12" spans="1:8" ht="18" customHeight="1" thickBot="1" x14ac:dyDescent="0.25">
      <c r="A12" s="1160"/>
      <c r="B12" s="537"/>
      <c r="C12" s="534" t="s">
        <v>96</v>
      </c>
      <c r="D12" s="1763"/>
      <c r="E12" s="1764"/>
      <c r="F12" s="1764"/>
      <c r="G12" s="1764"/>
      <c r="H12" s="1765"/>
    </row>
    <row r="13" spans="1:8" ht="18" customHeight="1" thickTop="1" x14ac:dyDescent="0.2">
      <c r="A13" s="1157"/>
      <c r="B13" s="535"/>
      <c r="C13" s="536" t="s">
        <v>277</v>
      </c>
      <c r="D13" s="1760"/>
      <c r="E13" s="1761"/>
      <c r="F13" s="1761"/>
      <c r="G13" s="1761"/>
      <c r="H13" s="1762"/>
    </row>
    <row r="14" spans="1:8" ht="18" customHeight="1" x14ac:dyDescent="0.2">
      <c r="A14" s="1158"/>
      <c r="B14" s="529"/>
      <c r="C14" s="530" t="s">
        <v>134</v>
      </c>
      <c r="D14" s="1756"/>
      <c r="E14" s="1757"/>
      <c r="F14" s="1757"/>
      <c r="G14" s="570" t="s">
        <v>327</v>
      </c>
      <c r="H14" s="657"/>
    </row>
    <row r="15" spans="1:8" ht="18" customHeight="1" x14ac:dyDescent="0.2">
      <c r="A15" s="1158"/>
      <c r="B15" s="529"/>
      <c r="C15" s="530" t="s">
        <v>314</v>
      </c>
      <c r="D15" s="1777"/>
      <c r="E15" s="1778"/>
      <c r="F15" s="1778"/>
      <c r="G15" s="570" t="s">
        <v>327</v>
      </c>
      <c r="H15" s="658"/>
    </row>
    <row r="16" spans="1:8" ht="18" customHeight="1" x14ac:dyDescent="0.2">
      <c r="A16" s="1158"/>
      <c r="B16" s="529"/>
      <c r="C16" s="530" t="s">
        <v>135</v>
      </c>
      <c r="D16" s="342"/>
      <c r="E16" s="622" t="s">
        <v>202</v>
      </c>
      <c r="F16" s="1132"/>
      <c r="G16" s="571" t="s">
        <v>203</v>
      </c>
      <c r="H16" s="659"/>
    </row>
    <row r="17" spans="1:16" ht="18" customHeight="1" thickBot="1" x14ac:dyDescent="0.25">
      <c r="A17" s="1158"/>
      <c r="B17" s="529"/>
      <c r="C17" s="530" t="s">
        <v>199</v>
      </c>
      <c r="D17" s="1849"/>
      <c r="E17" s="1850"/>
      <c r="F17" s="625"/>
      <c r="G17" s="174"/>
      <c r="H17" s="488"/>
    </row>
    <row r="18" spans="1:16" ht="18" customHeight="1" thickTop="1" x14ac:dyDescent="0.2">
      <c r="A18" s="1158"/>
      <c r="B18" s="529"/>
      <c r="C18" s="530" t="s">
        <v>92</v>
      </c>
      <c r="D18" s="660"/>
      <c r="E18" s="343">
        <f>IF(D18="none", "none",D18)</f>
        <v>0</v>
      </c>
      <c r="F18" s="553" t="s">
        <v>205</v>
      </c>
      <c r="G18" s="1750" t="s">
        <v>254</v>
      </c>
      <c r="H18" s="1751"/>
    </row>
    <row r="19" spans="1:16" ht="18" customHeight="1" x14ac:dyDescent="0.2">
      <c r="A19" s="1158"/>
      <c r="B19" s="529"/>
      <c r="C19" s="530" t="s">
        <v>204</v>
      </c>
      <c r="D19" s="661"/>
      <c r="E19" s="142" t="str">
        <f>IF(D19="","&lt;--ERROR","")</f>
        <v>&lt;--ERROR</v>
      </c>
      <c r="F19" s="489"/>
      <c r="G19" s="1752"/>
      <c r="H19" s="1753"/>
    </row>
    <row r="20" spans="1:16" ht="18" customHeight="1" x14ac:dyDescent="0.2">
      <c r="A20" s="1158"/>
      <c r="B20" s="532"/>
      <c r="C20" s="530" t="s">
        <v>27</v>
      </c>
      <c r="D20" s="662"/>
      <c r="E20" s="142"/>
      <c r="F20" s="490"/>
      <c r="G20" s="1754"/>
      <c r="H20" s="1755"/>
    </row>
    <row r="21" spans="1:16" ht="18" customHeight="1" thickBot="1" x14ac:dyDescent="0.25">
      <c r="A21" s="1159"/>
      <c r="B21" s="1092"/>
      <c r="C21" s="1093" t="s">
        <v>136</v>
      </c>
      <c r="D21" s="1094">
        <v>2012</v>
      </c>
      <c r="E21" s="1095">
        <f>IF(D21=2010,0,IF(D21=2011,1,IF(D21=2012,2)))</f>
        <v>2</v>
      </c>
      <c r="F21" s="544" t="s">
        <v>206</v>
      </c>
      <c r="G21" s="1839"/>
      <c r="H21" s="1840"/>
    </row>
    <row r="22" spans="1:16" ht="18" customHeight="1" thickTop="1" x14ac:dyDescent="0.2">
      <c r="A22" s="1766" t="s">
        <v>410</v>
      </c>
      <c r="B22" s="1767"/>
      <c r="C22" s="1767"/>
      <c r="D22" s="1767"/>
      <c r="E22" s="1768"/>
      <c r="F22" s="544" t="s">
        <v>207</v>
      </c>
      <c r="G22" s="1839"/>
      <c r="H22" s="1840"/>
    </row>
    <row r="23" spans="1:16" ht="18" customHeight="1" x14ac:dyDescent="0.2">
      <c r="A23" s="1769"/>
      <c r="B23" s="1770"/>
      <c r="C23" s="1770"/>
      <c r="D23" s="1770"/>
      <c r="E23" s="1771"/>
      <c r="F23" s="544" t="s">
        <v>208</v>
      </c>
      <c r="G23" s="1837"/>
      <c r="H23" s="1840"/>
    </row>
    <row r="24" spans="1:16" ht="18" customHeight="1" x14ac:dyDescent="0.2">
      <c r="A24" s="1769"/>
      <c r="B24" s="1770"/>
      <c r="C24" s="1770"/>
      <c r="D24" s="1770"/>
      <c r="E24" s="1771"/>
      <c r="F24" s="544" t="s">
        <v>92</v>
      </c>
      <c r="G24" s="1847" t="s">
        <v>377</v>
      </c>
      <c r="H24" s="1848"/>
    </row>
    <row r="25" spans="1:16" ht="27.75" customHeight="1" thickBot="1" x14ac:dyDescent="0.25">
      <c r="A25" s="1772"/>
      <c r="B25" s="1773"/>
      <c r="C25" s="1773"/>
      <c r="D25" s="1773"/>
      <c r="E25" s="1774"/>
      <c r="F25" s="545" t="s">
        <v>315</v>
      </c>
      <c r="G25" s="1839"/>
      <c r="H25" s="1840"/>
    </row>
    <row r="26" spans="1:16" ht="18" customHeight="1" thickTop="1" x14ac:dyDescent="0.2">
      <c r="A26" s="1828" t="s">
        <v>28</v>
      </c>
      <c r="B26" s="1829"/>
      <c r="C26" s="1830"/>
      <c r="D26" s="344" t="str">
        <f>IF(H50&lt;H38,"USE TIME BASED FEES","PERCENTAGE BASED FEES")</f>
        <v>USE TIME BASED FEES</v>
      </c>
      <c r="E26" s="1134"/>
      <c r="F26" s="546" t="s">
        <v>209</v>
      </c>
      <c r="G26" s="1839"/>
      <c r="H26" s="1840"/>
    </row>
    <row r="27" spans="1:16" ht="18" customHeight="1" x14ac:dyDescent="0.2">
      <c r="A27" s="1161"/>
      <c r="B27" s="542"/>
      <c r="C27" s="543" t="s">
        <v>195</v>
      </c>
      <c r="D27" s="572">
        <v>100</v>
      </c>
      <c r="E27" s="429" t="s">
        <v>278</v>
      </c>
      <c r="F27" s="546" t="s">
        <v>210</v>
      </c>
      <c r="G27" s="1839"/>
      <c r="H27" s="1840"/>
    </row>
    <row r="28" spans="1:16" ht="18" customHeight="1" x14ac:dyDescent="0.2">
      <c r="A28" s="1162"/>
      <c r="B28" s="539"/>
      <c r="C28" s="540" t="s">
        <v>114</v>
      </c>
      <c r="D28" s="1600"/>
      <c r="E28" s="345"/>
      <c r="F28" s="547" t="s">
        <v>327</v>
      </c>
      <c r="G28" s="1837"/>
      <c r="H28" s="1838"/>
    </row>
    <row r="29" spans="1:16" ht="18" customHeight="1" x14ac:dyDescent="0.2">
      <c r="A29" s="1158"/>
      <c r="B29" s="529"/>
      <c r="C29" s="530" t="s">
        <v>473</v>
      </c>
      <c r="D29" s="656"/>
      <c r="E29" s="345"/>
      <c r="F29" s="548" t="s">
        <v>201</v>
      </c>
      <c r="G29" s="1839"/>
      <c r="H29" s="1840"/>
    </row>
    <row r="30" spans="1:16" ht="18" customHeight="1" x14ac:dyDescent="0.2">
      <c r="A30" s="1158"/>
      <c r="B30" s="529"/>
      <c r="C30" s="530" t="s">
        <v>97</v>
      </c>
      <c r="D30" s="660"/>
      <c r="E30" s="345"/>
      <c r="F30" s="549" t="s">
        <v>211</v>
      </c>
      <c r="G30" s="1839"/>
      <c r="H30" s="1840"/>
    </row>
    <row r="31" spans="1:16" ht="18" customHeight="1" thickBot="1" x14ac:dyDescent="0.25">
      <c r="A31" s="1158"/>
      <c r="B31" s="529"/>
      <c r="C31" s="530" t="s">
        <v>212</v>
      </c>
      <c r="D31" s="660"/>
      <c r="E31" s="500"/>
      <c r="F31" s="550" t="s">
        <v>213</v>
      </c>
      <c r="G31" s="1763"/>
      <c r="H31" s="1843"/>
    </row>
    <row r="32" spans="1:16" ht="18" customHeight="1" thickTop="1" x14ac:dyDescent="0.25">
      <c r="A32" s="1158"/>
      <c r="B32" s="541"/>
      <c r="C32" s="530" t="str">
        <f>IF(F32=1,"STAGE COMPLETED",IF(F32=6,"STAGE COMPLETED","STAGE"))</f>
        <v>STAGE</v>
      </c>
      <c r="D32" s="1841" t="s">
        <v>678</v>
      </c>
      <c r="E32" s="1842"/>
      <c r="F32" s="655">
        <f>IF(D32="INCEPTION",1,IF(D32="PRELIMINARY DESIGN: CONCEPT &amp; VIABILITY",2,IF(D32="DETAIL DESIGN",3,IF(D32="DOCUMENTATION &amp; PROCUREMENT",4,IF(D32="CONTRACT ADMINISTRATION &amp; INSPECTION",5,IF(D32="CLOSE OUT",6))))))</f>
        <v>3</v>
      </c>
      <c r="G32" s="21"/>
      <c r="H32" s="506"/>
      <c r="I32" s="947"/>
      <c r="J32" s="946"/>
      <c r="K32" s="945"/>
      <c r="L32" s="945"/>
      <c r="N32" s="945"/>
      <c r="O32" s="945"/>
      <c r="P32" s="945"/>
    </row>
    <row r="33" spans="1:16" ht="18" customHeight="1" x14ac:dyDescent="0.25">
      <c r="A33" s="1159"/>
      <c r="B33" s="875"/>
      <c r="C33" s="876" t="str">
        <f>IF(F32=1,"",IF(F32&gt;4,"N/A","PERCENTAGE OF STAGE COMPLETED"))</f>
        <v>PERCENTAGE OF STAGE COMPLETED</v>
      </c>
      <c r="D33" s="877">
        <v>1</v>
      </c>
      <c r="E33" s="1824" t="s">
        <v>401</v>
      </c>
      <c r="F33" s="1825"/>
      <c r="G33" s="1826"/>
      <c r="H33" s="1827"/>
      <c r="I33" s="948"/>
      <c r="J33" s="949"/>
      <c r="K33" s="945"/>
      <c r="L33" s="945"/>
      <c r="N33" s="945"/>
      <c r="O33" s="945"/>
      <c r="P33" s="945"/>
    </row>
    <row r="34" spans="1:16" ht="18" customHeight="1" x14ac:dyDescent="0.25">
      <c r="A34" s="1158"/>
      <c r="B34" s="1088"/>
      <c r="C34" s="530" t="s">
        <v>156</v>
      </c>
      <c r="D34" s="414" t="s">
        <v>275</v>
      </c>
      <c r="E34" s="24"/>
      <c r="F34" s="24"/>
      <c r="G34" s="21"/>
      <c r="H34" s="940"/>
      <c r="I34" s="948"/>
      <c r="J34" s="949"/>
      <c r="K34" s="945"/>
      <c r="L34" s="945"/>
      <c r="N34" s="945"/>
      <c r="O34" s="945"/>
      <c r="P34" s="945"/>
    </row>
    <row r="35" spans="1:16" ht="18" customHeight="1" thickBot="1" x14ac:dyDescent="0.3">
      <c r="A35" s="236"/>
      <c r="B35" s="1133"/>
      <c r="C35" s="24" t="s">
        <v>471</v>
      </c>
      <c r="D35" s="1096"/>
      <c r="E35" s="24"/>
      <c r="F35" s="24"/>
      <c r="G35" s="21"/>
      <c r="H35" s="940"/>
      <c r="I35" s="948"/>
      <c r="J35" s="949"/>
      <c r="K35" s="945"/>
      <c r="L35" s="945"/>
      <c r="N35" s="945"/>
      <c r="O35" s="945"/>
      <c r="P35" s="945"/>
    </row>
    <row r="36" spans="1:16" ht="18" customHeight="1" x14ac:dyDescent="0.25">
      <c r="A36" s="1163"/>
      <c r="B36" s="554"/>
      <c r="C36" s="554"/>
      <c r="D36" s="555" t="s">
        <v>26</v>
      </c>
      <c r="E36" s="708" t="s">
        <v>275</v>
      </c>
      <c r="F36" s="21"/>
      <c r="G36" s="20"/>
      <c r="H36" s="507"/>
      <c r="I36" s="947"/>
      <c r="J36" s="946"/>
      <c r="K36" s="945"/>
      <c r="L36" s="945"/>
      <c r="N36" s="945"/>
      <c r="O36" s="945"/>
      <c r="P36" s="945"/>
    </row>
    <row r="37" spans="1:16" ht="18" customHeight="1" x14ac:dyDescent="0.25">
      <c r="A37" s="1158"/>
      <c r="B37" s="529"/>
      <c r="C37" s="529"/>
      <c r="D37" s="530" t="s">
        <v>330</v>
      </c>
      <c r="E37" s="708" t="s">
        <v>275</v>
      </c>
      <c r="F37" s="21"/>
      <c r="G37" s="20"/>
      <c r="H37" s="507"/>
      <c r="I37" s="947"/>
      <c r="J37" s="946"/>
      <c r="K37" s="945"/>
      <c r="L37" s="945"/>
      <c r="N37" s="945"/>
      <c r="O37" s="945"/>
      <c r="P37" s="945"/>
    </row>
    <row r="38" spans="1:16" ht="18" customHeight="1" thickBot="1" x14ac:dyDescent="0.3">
      <c r="A38" s="1160"/>
      <c r="B38" s="537"/>
      <c r="C38" s="537"/>
      <c r="D38" s="534" t="s">
        <v>137</v>
      </c>
      <c r="E38" s="709" t="s">
        <v>275</v>
      </c>
      <c r="F38" s="21"/>
      <c r="G38" s="25"/>
      <c r="H38" s="941">
        <f>Scales!C3</f>
        <v>512000</v>
      </c>
      <c r="I38" s="947"/>
      <c r="J38" s="946"/>
      <c r="K38" s="945"/>
      <c r="L38" s="945"/>
      <c r="N38" s="945"/>
      <c r="O38" s="945"/>
      <c r="P38" s="945"/>
    </row>
    <row r="39" spans="1:16" ht="67.5" customHeight="1" thickTop="1" thickBot="1" x14ac:dyDescent="0.25">
      <c r="A39" s="1844" t="s">
        <v>347</v>
      </c>
      <c r="B39" s="1845"/>
      <c r="C39" s="1845"/>
      <c r="D39" s="1846"/>
      <c r="E39" s="707" t="s">
        <v>262</v>
      </c>
      <c r="F39" s="1831" t="s">
        <v>263</v>
      </c>
      <c r="G39" s="1833" t="s">
        <v>264</v>
      </c>
      <c r="H39" s="1835" t="s">
        <v>123</v>
      </c>
    </row>
    <row r="40" spans="1:16" ht="22.5" customHeight="1" thickBot="1" x14ac:dyDescent="0.25">
      <c r="A40" s="501" t="s">
        <v>172</v>
      </c>
      <c r="B40" s="494"/>
      <c r="C40" s="494"/>
      <c r="D40" s="163" t="s">
        <v>357</v>
      </c>
      <c r="E40" s="591">
        <f>IF($F$32&lt;4,1,IF($D$40="TENDER VALUES",2,1))</f>
        <v>1</v>
      </c>
      <c r="F40" s="1832"/>
      <c r="G40" s="1834"/>
      <c r="H40" s="1836"/>
    </row>
    <row r="41" spans="1:16" ht="30" customHeight="1" thickTop="1" x14ac:dyDescent="0.2">
      <c r="A41" s="1779" t="s">
        <v>158</v>
      </c>
      <c r="B41" s="1780"/>
      <c r="C41" s="1780"/>
      <c r="D41" s="1781"/>
      <c r="E41" s="897">
        <v>0</v>
      </c>
      <c r="F41" s="897"/>
      <c r="G41" s="897"/>
      <c r="H41" s="732">
        <f t="shared" ref="H41:H49" si="0">IF($E$10="e",IF($F$32&lt;5,E41,IF($F$32=5,F41,IF($F$32=6,G41))))</f>
        <v>0</v>
      </c>
    </row>
    <row r="42" spans="1:16" ht="30" customHeight="1" x14ac:dyDescent="0.2">
      <c r="A42" s="1741" t="s">
        <v>159</v>
      </c>
      <c r="B42" s="1744"/>
      <c r="C42" s="1744"/>
      <c r="D42" s="1745"/>
      <c r="E42" s="898">
        <v>0</v>
      </c>
      <c r="F42" s="898"/>
      <c r="G42" s="898"/>
      <c r="H42" s="733">
        <f t="shared" si="0"/>
        <v>0</v>
      </c>
    </row>
    <row r="43" spans="1:16" ht="32.25" customHeight="1" x14ac:dyDescent="0.2">
      <c r="A43" s="1741" t="s">
        <v>160</v>
      </c>
      <c r="B43" s="1742"/>
      <c r="C43" s="1742"/>
      <c r="D43" s="1743"/>
      <c r="E43" s="898">
        <v>0</v>
      </c>
      <c r="F43" s="898">
        <v>1000000</v>
      </c>
      <c r="G43" s="898"/>
      <c r="H43" s="733">
        <f t="shared" si="0"/>
        <v>0</v>
      </c>
    </row>
    <row r="44" spans="1:16" ht="41.25" customHeight="1" x14ac:dyDescent="0.2">
      <c r="A44" s="1741" t="s">
        <v>161</v>
      </c>
      <c r="B44" s="1744"/>
      <c r="C44" s="1744"/>
      <c r="D44" s="1745"/>
      <c r="E44" s="898"/>
      <c r="F44" s="898"/>
      <c r="G44" s="898"/>
      <c r="H44" s="733">
        <f t="shared" si="0"/>
        <v>0</v>
      </c>
    </row>
    <row r="45" spans="1:16" ht="42.75" customHeight="1" x14ac:dyDescent="0.2">
      <c r="A45" s="1741" t="s">
        <v>162</v>
      </c>
      <c r="B45" s="1742"/>
      <c r="C45" s="1742"/>
      <c r="D45" s="1743"/>
      <c r="E45" s="898"/>
      <c r="F45" s="898"/>
      <c r="G45" s="898"/>
      <c r="H45" s="733">
        <f t="shared" si="0"/>
        <v>0</v>
      </c>
    </row>
    <row r="46" spans="1:16" ht="47.25" customHeight="1" x14ac:dyDescent="0.2">
      <c r="A46" s="1741" t="s">
        <v>163</v>
      </c>
      <c r="B46" s="1742"/>
      <c r="C46" s="1742"/>
      <c r="D46" s="1743"/>
      <c r="E46" s="898"/>
      <c r="F46" s="898"/>
      <c r="G46" s="898"/>
      <c r="H46" s="733">
        <f t="shared" si="0"/>
        <v>0</v>
      </c>
    </row>
    <row r="47" spans="1:16" ht="30" customHeight="1" x14ac:dyDescent="0.2">
      <c r="A47" s="1741" t="s">
        <v>164</v>
      </c>
      <c r="B47" s="1742"/>
      <c r="C47" s="1742"/>
      <c r="D47" s="1743"/>
      <c r="E47" s="898"/>
      <c r="F47" s="898"/>
      <c r="G47" s="898"/>
      <c r="H47" s="733">
        <f t="shared" si="0"/>
        <v>0</v>
      </c>
    </row>
    <row r="48" spans="1:16" ht="41.25" customHeight="1" thickBot="1" x14ac:dyDescent="0.25">
      <c r="A48" s="1779" t="s">
        <v>165</v>
      </c>
      <c r="B48" s="1792"/>
      <c r="C48" s="1792"/>
      <c r="D48" s="1793"/>
      <c r="E48" s="898"/>
      <c r="F48" s="898"/>
      <c r="G48" s="898"/>
      <c r="H48" s="734">
        <f t="shared" si="0"/>
        <v>0</v>
      </c>
    </row>
    <row r="49" spans="1:8" ht="42.75" customHeight="1" thickBot="1" x14ac:dyDescent="0.25">
      <c r="A49" s="1784" t="s">
        <v>174</v>
      </c>
      <c r="B49" s="1785"/>
      <c r="C49" s="1785"/>
      <c r="D49" s="1786"/>
      <c r="E49" s="929">
        <f>'WTW Input'!E22</f>
        <v>0</v>
      </c>
      <c r="F49" s="929">
        <f>'WTW Input'!F22</f>
        <v>0</v>
      </c>
      <c r="G49" s="899">
        <f>'WTW Input'!G22</f>
        <v>0</v>
      </c>
      <c r="H49" s="735">
        <f t="shared" si="0"/>
        <v>0</v>
      </c>
    </row>
    <row r="50" spans="1:8" ht="30" customHeight="1" thickBot="1" x14ac:dyDescent="0.25">
      <c r="A50" s="1787" t="s">
        <v>259</v>
      </c>
      <c r="B50" s="1788"/>
      <c r="C50" s="1788"/>
      <c r="D50" s="1789"/>
      <c r="E50" s="930">
        <f>SUM(E41:E49)</f>
        <v>0</v>
      </c>
      <c r="F50" s="930">
        <f>SUM(F41:F49)</f>
        <v>1000000</v>
      </c>
      <c r="G50" s="931">
        <f>SUM(G41:G49)</f>
        <v>0</v>
      </c>
      <c r="H50" s="900">
        <f>IF(H59&gt;SUM(H41:H49),"ERROR",SUM(H41:H49))</f>
        <v>0</v>
      </c>
    </row>
    <row r="51" spans="1:8" ht="30" customHeight="1" thickBot="1" x14ac:dyDescent="0.25">
      <c r="A51" s="1790" t="str">
        <f>IF(F32=6,IF(H50=H59,"","THE VALUE OF ( C) MUST BE THE SAME AS (D)"),"")</f>
        <v/>
      </c>
      <c r="B51" s="1791"/>
      <c r="C51" s="1791"/>
      <c r="D51" s="1791"/>
      <c r="E51" s="1791"/>
      <c r="F51" s="1602" t="str">
        <f>IF($F$32=6,IF($H$59=$H$50,"","ERROR"),"")</f>
        <v/>
      </c>
      <c r="G51" s="1601" t="str">
        <f>IF($F$32=6,IF($H$61=$H$53,"","ERROR"),"")</f>
        <v/>
      </c>
      <c r="H51" s="508"/>
    </row>
    <row r="52" spans="1:8" ht="41.25" customHeight="1" thickBot="1" x14ac:dyDescent="0.25">
      <c r="A52" s="1794" t="s">
        <v>247</v>
      </c>
      <c r="B52" s="1795"/>
      <c r="C52" s="1795"/>
      <c r="D52" s="1796"/>
      <c r="E52" s="932">
        <v>0</v>
      </c>
      <c r="F52" s="932">
        <v>0</v>
      </c>
      <c r="G52" s="1605"/>
      <c r="H52" s="1603">
        <f>IF($E$10="e",IF($F$32&lt;5,E52,IF($F$32=5,F52,IF($F$32=6,G52))))</f>
        <v>0</v>
      </c>
    </row>
    <row r="53" spans="1:8" ht="45" customHeight="1" thickBot="1" x14ac:dyDescent="0.25">
      <c r="A53" s="1797" t="s">
        <v>175</v>
      </c>
      <c r="B53" s="1798"/>
      <c r="C53" s="1798"/>
      <c r="D53" s="1799"/>
      <c r="E53" s="933">
        <v>0</v>
      </c>
      <c r="F53" s="933">
        <v>0</v>
      </c>
      <c r="G53" s="1606"/>
      <c r="H53" s="1604">
        <f>IF($E$10="e",IF($F$32&lt;5,E53,IF($F$32=5,F53,IF($F$32=6,G53))))</f>
        <v>0</v>
      </c>
    </row>
    <row r="54" spans="1:8" ht="30.75" customHeight="1" thickTop="1" thickBot="1" x14ac:dyDescent="0.25">
      <c r="A54" s="1800" t="s">
        <v>350</v>
      </c>
      <c r="B54" s="1801"/>
      <c r="C54" s="1801"/>
      <c r="D54" s="1801"/>
      <c r="E54" s="726"/>
      <c r="F54" s="726"/>
      <c r="G54" s="726"/>
      <c r="H54" s="727"/>
    </row>
    <row r="55" spans="1:8" ht="51.75" customHeight="1" thickTop="1" thickBot="1" x14ac:dyDescent="0.25">
      <c r="A55" s="1782" t="s">
        <v>346</v>
      </c>
      <c r="B55" s="1783"/>
      <c r="C55" s="1783"/>
      <c r="D55" s="1783"/>
      <c r="E55" s="1783"/>
      <c r="F55" s="1783"/>
      <c r="G55" s="556" t="s">
        <v>265</v>
      </c>
      <c r="H55" s="576" t="s">
        <v>123</v>
      </c>
    </row>
    <row r="56" spans="1:8" ht="30" customHeight="1" thickTop="1" x14ac:dyDescent="0.2">
      <c r="A56" s="1804" t="s">
        <v>166</v>
      </c>
      <c r="B56" s="1805"/>
      <c r="C56" s="1805"/>
      <c r="D56" s="1805"/>
      <c r="E56" s="1806"/>
      <c r="F56" s="1807"/>
      <c r="G56" s="901"/>
      <c r="H56" s="728">
        <f>IF($F$32&gt;4,G56,0)</f>
        <v>0</v>
      </c>
    </row>
    <row r="57" spans="1:8" ht="30" customHeight="1" x14ac:dyDescent="0.2">
      <c r="A57" s="1808" t="s">
        <v>167</v>
      </c>
      <c r="B57" s="1809"/>
      <c r="C57" s="1809"/>
      <c r="D57" s="1809"/>
      <c r="E57" s="1809"/>
      <c r="F57" s="1810"/>
      <c r="G57" s="902">
        <v>1000000</v>
      </c>
      <c r="H57" s="729">
        <f>IF($F$32&gt;4,G57,0)</f>
        <v>0</v>
      </c>
    </row>
    <row r="58" spans="1:8" ht="30" customHeight="1" thickBot="1" x14ac:dyDescent="0.25">
      <c r="A58" s="1820" t="s">
        <v>181</v>
      </c>
      <c r="B58" s="1821"/>
      <c r="C58" s="1821"/>
      <c r="D58" s="1821"/>
      <c r="E58" s="1822"/>
      <c r="F58" s="1823"/>
      <c r="G58" s="903">
        <f>'WTW Input'!H28</f>
        <v>0</v>
      </c>
      <c r="H58" s="730">
        <f>IF($F$32&gt;4,G58,0)</f>
        <v>0</v>
      </c>
    </row>
    <row r="59" spans="1:8" ht="30" customHeight="1" thickBot="1" x14ac:dyDescent="0.25">
      <c r="A59" s="1787" t="s">
        <v>249</v>
      </c>
      <c r="B59" s="1811"/>
      <c r="C59" s="1811"/>
      <c r="D59" s="1811"/>
      <c r="E59" s="1812"/>
      <c r="F59" s="1813"/>
      <c r="G59" s="904">
        <f>G56+G57+G58</f>
        <v>1000000</v>
      </c>
      <c r="H59" s="905">
        <f>H56+H57+H58</f>
        <v>0</v>
      </c>
    </row>
    <row r="60" spans="1:8" ht="36.75" customHeight="1" thickBot="1" x14ac:dyDescent="0.25">
      <c r="A60" s="1817" t="s">
        <v>248</v>
      </c>
      <c r="B60" s="1818"/>
      <c r="C60" s="1818"/>
      <c r="D60" s="1818"/>
      <c r="E60" s="1818"/>
      <c r="F60" s="1819"/>
      <c r="G60" s="901"/>
      <c r="H60" s="731">
        <f>IF($F$32&gt;4,G60,0)</f>
        <v>0</v>
      </c>
    </row>
    <row r="61" spans="1:8" ht="39.75" customHeight="1" thickBot="1" x14ac:dyDescent="0.25">
      <c r="A61" s="1814" t="s">
        <v>331</v>
      </c>
      <c r="B61" s="1815"/>
      <c r="C61" s="1815"/>
      <c r="D61" s="1815"/>
      <c r="E61" s="1815"/>
      <c r="F61" s="1816"/>
      <c r="G61" s="906"/>
      <c r="H61" s="907">
        <f>IF($F$32&gt;4,G61,0)</f>
        <v>0</v>
      </c>
    </row>
    <row r="62" spans="1:8" ht="15.75" thickTop="1" x14ac:dyDescent="0.2">
      <c r="A62" s="8"/>
      <c r="B62" s="8"/>
      <c r="C62" s="8"/>
      <c r="D62" s="8"/>
      <c r="E62" s="8"/>
      <c r="F62" s="8"/>
      <c r="G62" s="8"/>
    </row>
    <row r="67" ht="18.75" customHeight="1" x14ac:dyDescent="0.2"/>
    <row r="74" ht="25.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116" spans="1:8" x14ac:dyDescent="0.2">
      <c r="A116" s="1"/>
      <c r="B116" s="1"/>
      <c r="C116" s="1"/>
      <c r="D116" s="1"/>
      <c r="E116" s="1"/>
      <c r="F116" s="1"/>
      <c r="G116" s="1"/>
      <c r="H116" s="1"/>
    </row>
    <row r="117" spans="1:8" x14ac:dyDescent="0.2">
      <c r="A117" s="1802"/>
      <c r="B117" s="1803"/>
      <c r="C117" s="1803"/>
      <c r="D117" s="1803"/>
      <c r="E117" s="1803"/>
      <c r="F117" s="1803"/>
      <c r="G117" s="1803"/>
      <c r="H117" s="1803"/>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53">
    <mergeCell ref="G24:H24"/>
    <mergeCell ref="G25:H25"/>
    <mergeCell ref="D17:E17"/>
    <mergeCell ref="G9:H9"/>
    <mergeCell ref="G21:H21"/>
    <mergeCell ref="G22:H22"/>
    <mergeCell ref="G23:H23"/>
    <mergeCell ref="A42:D42"/>
    <mergeCell ref="E33:H33"/>
    <mergeCell ref="A26:C26"/>
    <mergeCell ref="F39:F40"/>
    <mergeCell ref="G39:G40"/>
    <mergeCell ref="H39:H40"/>
    <mergeCell ref="G28:H28"/>
    <mergeCell ref="G29:H29"/>
    <mergeCell ref="G26:H26"/>
    <mergeCell ref="D32:E32"/>
    <mergeCell ref="G27:H27"/>
    <mergeCell ref="G30:H30"/>
    <mergeCell ref="G31:H31"/>
    <mergeCell ref="A39:D39"/>
    <mergeCell ref="A117:H117"/>
    <mergeCell ref="A56:F56"/>
    <mergeCell ref="A57:F57"/>
    <mergeCell ref="A59:F59"/>
    <mergeCell ref="A61:F61"/>
    <mergeCell ref="A60:F60"/>
    <mergeCell ref="A58:F58"/>
    <mergeCell ref="A55:F55"/>
    <mergeCell ref="A47:D47"/>
    <mergeCell ref="A49:D49"/>
    <mergeCell ref="A50:D50"/>
    <mergeCell ref="A51:E51"/>
    <mergeCell ref="A48:D48"/>
    <mergeCell ref="A52:D52"/>
    <mergeCell ref="A53:D53"/>
    <mergeCell ref="A54:D54"/>
    <mergeCell ref="A1:H1"/>
    <mergeCell ref="A46:D46"/>
    <mergeCell ref="A44:D44"/>
    <mergeCell ref="A43:D43"/>
    <mergeCell ref="E3:G3"/>
    <mergeCell ref="E2:G2"/>
    <mergeCell ref="G18:H20"/>
    <mergeCell ref="D14:F14"/>
    <mergeCell ref="G5:H5"/>
    <mergeCell ref="D13:H13"/>
    <mergeCell ref="D12:H12"/>
    <mergeCell ref="A22:E25"/>
    <mergeCell ref="D9:E9"/>
    <mergeCell ref="D15:F15"/>
    <mergeCell ref="A45:D45"/>
    <mergeCell ref="A41:D41"/>
  </mergeCells>
  <phoneticPr fontId="0" type="noConversion"/>
  <dataValidations count="6">
    <dataValidation type="list" allowBlank="1" showInputMessage="1" showErrorMessage="1" sqref="D9:E9">
      <formula1>"CIVIL ENGINEERING,STRUCTURAL ENGINEERING, CIVIL &amp; STRUCTURAL ENGINEERING"</formula1>
    </dataValidation>
    <dataValidation type="list" allowBlank="1" showInputMessage="1" showErrorMessage="1" sqref="D40">
      <formula1>"ESTIMATES ONLY, TENDER VALUES"</formula1>
    </dataValidation>
    <dataValidation type="list" allowBlank="1" showInputMessage="1" showErrorMessage="1" sqref="E36:E38 D34">
      <formula1>"Y,N"</formula1>
    </dataValidation>
    <dataValidation type="list" allowBlank="1" showInputMessage="1" showErrorMessage="1" sqref="D32:E32">
      <formula1>"INCEPTION, PRELIMINARY DESIGN: CONCEPT &amp; VIABILITY,DETAIL DESIGN,DOCUMENTATION &amp; PROCUREMENT,CONTRACT ADMINISTRATION &amp; INSPECTION, CLOSE OUT"</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2"/>
  <headerFooter alignWithMargins="0">
    <oddFooter>&amp;L&amp;"Arial,Regular"&amp;8&amp;F: &amp;A&amp;C&amp;"Arial,Regular"&amp;11&amp;P&amp;R&amp;"Arial,Regular"&amp;8&amp;D</oddFooter>
  </headerFooter>
  <rowBreaks count="1" manualBreakCount="1">
    <brk id="53" max="7"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H117"/>
  <sheetViews>
    <sheetView zoomScale="70" zoomScaleNormal="70" zoomScaleSheetLayoutView="70" workbookViewId="0">
      <selection activeCell="E6" sqref="E6"/>
    </sheetView>
  </sheetViews>
  <sheetFormatPr defaultRowHeight="15" x14ac:dyDescent="0.2"/>
  <cols>
    <col min="1" max="1" width="18.33203125" customWidth="1"/>
    <col min="2" max="2" width="3.88671875" customWidth="1"/>
    <col min="3" max="3" width="10.44140625" customWidth="1"/>
    <col min="4" max="4" width="27.77734375" customWidth="1"/>
    <col min="5" max="5" width="19.109375" customWidth="1"/>
    <col min="6" max="6" width="21" customWidth="1"/>
    <col min="7" max="7" width="18.6640625" customWidth="1"/>
    <col min="8" max="8" width="16.44140625" customWidth="1"/>
  </cols>
  <sheetData>
    <row r="1" spans="1:8" ht="64.5" customHeight="1" thickTop="1" thickBot="1" x14ac:dyDescent="0.25">
      <c r="A1" s="1738" t="str">
        <f>'Input Data'!A1:H1</f>
        <v>PLEASE READ THE NOTES (1st SHEET) BEFORE STARTING TO POPULATE THE SHEETS. COMPLETE ALL YELLOW CELLS PLEASE !!!</v>
      </c>
      <c r="B1" s="1885"/>
      <c r="C1" s="1885"/>
      <c r="D1" s="1885"/>
      <c r="E1" s="1885"/>
      <c r="F1" s="1885"/>
      <c r="G1" s="1885"/>
      <c r="H1" s="1886"/>
    </row>
    <row r="2" spans="1:8" ht="46.5" customHeight="1" thickTop="1" x14ac:dyDescent="0.2">
      <c r="A2" s="511"/>
      <c r="B2" s="512"/>
      <c r="C2" s="512"/>
      <c r="D2" s="510"/>
      <c r="E2" s="1887" t="s">
        <v>359</v>
      </c>
      <c r="F2" s="1888"/>
      <c r="G2" s="1888"/>
      <c r="H2" s="140"/>
    </row>
    <row r="3" spans="1:8" ht="41.25" customHeight="1" thickBot="1" x14ac:dyDescent="0.25">
      <c r="A3" s="421"/>
      <c r="B3" s="141"/>
      <c r="C3" s="141"/>
      <c r="D3" s="141"/>
      <c r="E3" s="977" t="str">
        <f>IF(E9="b","USE MULTI-DISCIPLINARY PROJECT INVOICE!!!",CONCATENATE(D9,":  ",D20," NDPW FEES"))</f>
        <v>USE MULTI-DISCIPLINARY PROJECT INVOICE!!!</v>
      </c>
      <c r="F3" s="975"/>
      <c r="G3" s="975"/>
      <c r="H3" s="592" t="str">
        <f>'Input Data'!H4</f>
        <v>Version: 1.1  2012-10</v>
      </c>
    </row>
    <row r="4" spans="1:8" ht="18" customHeight="1" thickTop="1" x14ac:dyDescent="0.2">
      <c r="A4" s="604"/>
      <c r="B4" s="527"/>
      <c r="C4" s="528" t="s">
        <v>256</v>
      </c>
      <c r="D4" s="605" t="s">
        <v>312</v>
      </c>
      <c r="E4" s="606"/>
      <c r="F4" s="607" t="s">
        <v>255</v>
      </c>
      <c r="G4" s="1891" t="s">
        <v>316</v>
      </c>
      <c r="H4" s="1892"/>
    </row>
    <row r="5" spans="1:8" ht="18" customHeight="1" x14ac:dyDescent="0.2">
      <c r="A5" s="608"/>
      <c r="B5" s="529"/>
      <c r="C5" s="530" t="s">
        <v>257</v>
      </c>
      <c r="D5" s="609">
        <v>79867</v>
      </c>
      <c r="E5" s="610"/>
      <c r="F5" s="495" t="s">
        <v>201</v>
      </c>
      <c r="G5" s="611" t="s">
        <v>318</v>
      </c>
      <c r="H5" s="612"/>
    </row>
    <row r="6" spans="1:8" ht="18" customHeight="1" x14ac:dyDescent="0.2">
      <c r="A6" s="608"/>
      <c r="B6" s="529"/>
      <c r="C6" s="530" t="s">
        <v>276</v>
      </c>
      <c r="D6" s="613">
        <v>2</v>
      </c>
      <c r="F6" s="495" t="s">
        <v>225</v>
      </c>
      <c r="G6" s="611" t="s">
        <v>319</v>
      </c>
      <c r="H6" s="612"/>
    </row>
    <row r="7" spans="1:8" ht="18" customHeight="1" x14ac:dyDescent="0.2">
      <c r="A7" s="608"/>
      <c r="B7" s="529"/>
      <c r="C7" s="530" t="s">
        <v>200</v>
      </c>
      <c r="D7" s="614" t="s">
        <v>313</v>
      </c>
      <c r="E7" s="610"/>
      <c r="F7" s="24" t="s">
        <v>221</v>
      </c>
      <c r="G7" s="611" t="s">
        <v>341</v>
      </c>
      <c r="H7" s="615"/>
    </row>
    <row r="8" spans="1:8" ht="18" customHeight="1" x14ac:dyDescent="0.2">
      <c r="A8" s="608"/>
      <c r="B8" s="529"/>
      <c r="C8" s="530" t="s">
        <v>267</v>
      </c>
      <c r="D8" s="1878" t="s">
        <v>268</v>
      </c>
      <c r="E8" s="1854"/>
      <c r="F8" s="495" t="s">
        <v>199</v>
      </c>
      <c r="G8" s="1883" t="s">
        <v>317</v>
      </c>
      <c r="H8" s="1884"/>
    </row>
    <row r="9" spans="1:8" ht="18" customHeight="1" x14ac:dyDescent="0.2">
      <c r="A9" s="608"/>
      <c r="B9" s="529"/>
      <c r="C9" s="531" t="s">
        <v>102</v>
      </c>
      <c r="D9" s="616" t="s">
        <v>405</v>
      </c>
      <c r="E9" s="413" t="str">
        <f>IF(D9="MULTI-DISCIPLINARY PROJECT","B","E")</f>
        <v>B</v>
      </c>
      <c r="F9" s="29"/>
      <c r="G9" s="29"/>
      <c r="H9" s="384"/>
    </row>
    <row r="10" spans="1:8" ht="18" customHeight="1" x14ac:dyDescent="0.2">
      <c r="A10" s="908"/>
      <c r="B10" s="866"/>
      <c r="C10" s="869" t="s">
        <v>375</v>
      </c>
      <c r="D10" s="870" t="s">
        <v>376</v>
      </c>
      <c r="E10" s="871" t="str">
        <f>IF($D$10="Yes", "NO OF DAYS","")</f>
        <v>NO OF DAYS</v>
      </c>
      <c r="F10" s="872">
        <v>30</v>
      </c>
      <c r="G10" s="873" t="str">
        <f>IF($D$10="Yes", "RATE","")</f>
        <v>RATE</v>
      </c>
      <c r="H10" s="874">
        <v>500</v>
      </c>
    </row>
    <row r="11" spans="1:8" ht="18" customHeight="1" thickBot="1" x14ac:dyDescent="0.25">
      <c r="A11" s="617"/>
      <c r="B11" s="537"/>
      <c r="C11" s="534" t="s">
        <v>96</v>
      </c>
      <c r="D11" s="1857" t="s">
        <v>339</v>
      </c>
      <c r="E11" s="1896"/>
      <c r="F11" s="1896"/>
      <c r="G11" s="1896"/>
      <c r="H11" s="1897"/>
    </row>
    <row r="12" spans="1:8" ht="18" customHeight="1" thickTop="1" x14ac:dyDescent="0.2">
      <c r="A12" s="618"/>
      <c r="B12" s="535"/>
      <c r="C12" s="536" t="s">
        <v>277</v>
      </c>
      <c r="D12" s="1893" t="s">
        <v>320</v>
      </c>
      <c r="E12" s="1894"/>
      <c r="F12" s="1894"/>
      <c r="G12" s="1894"/>
      <c r="H12" s="1895"/>
    </row>
    <row r="13" spans="1:8" ht="18" customHeight="1" x14ac:dyDescent="0.2">
      <c r="A13" s="608"/>
      <c r="B13" s="529"/>
      <c r="C13" s="530" t="s">
        <v>134</v>
      </c>
      <c r="D13" s="1889" t="s">
        <v>321</v>
      </c>
      <c r="E13" s="1890"/>
      <c r="F13" s="1890"/>
      <c r="G13" s="570" t="s">
        <v>327</v>
      </c>
      <c r="H13" s="619">
        <v>1034</v>
      </c>
    </row>
    <row r="14" spans="1:8" ht="18" customHeight="1" x14ac:dyDescent="0.2">
      <c r="A14" s="608"/>
      <c r="B14" s="529"/>
      <c r="C14" s="530" t="s">
        <v>314</v>
      </c>
      <c r="D14" s="1879" t="s">
        <v>322</v>
      </c>
      <c r="E14" s="1880"/>
      <c r="F14" s="1880"/>
      <c r="G14" s="570" t="s">
        <v>327</v>
      </c>
      <c r="H14" s="620">
        <v>1002</v>
      </c>
    </row>
    <row r="15" spans="1:8" ht="18" customHeight="1" x14ac:dyDescent="0.2">
      <c r="A15" s="608"/>
      <c r="B15" s="529"/>
      <c r="C15" s="530" t="s">
        <v>135</v>
      </c>
      <c r="D15" s="621" t="s">
        <v>323</v>
      </c>
      <c r="E15" s="622" t="s">
        <v>202</v>
      </c>
      <c r="F15" s="623" t="s">
        <v>340</v>
      </c>
      <c r="G15" s="622" t="s">
        <v>203</v>
      </c>
      <c r="H15" s="624" t="s">
        <v>324</v>
      </c>
    </row>
    <row r="16" spans="1:8" ht="18" customHeight="1" thickBot="1" x14ac:dyDescent="0.25">
      <c r="A16" s="608"/>
      <c r="B16" s="529"/>
      <c r="C16" s="530" t="s">
        <v>199</v>
      </c>
      <c r="D16" s="1881" t="s">
        <v>325</v>
      </c>
      <c r="E16" s="1882"/>
      <c r="F16" s="625"/>
      <c r="G16" s="495"/>
      <c r="H16" s="626"/>
    </row>
    <row r="17" spans="1:8" ht="18" customHeight="1" thickTop="1" x14ac:dyDescent="0.2">
      <c r="A17" s="608"/>
      <c r="B17" s="529"/>
      <c r="C17" s="530" t="s">
        <v>92</v>
      </c>
      <c r="D17" s="627" t="s">
        <v>329</v>
      </c>
      <c r="E17" s="343" t="s">
        <v>329</v>
      </c>
      <c r="F17" s="553" t="s">
        <v>205</v>
      </c>
      <c r="G17" s="1750" t="s">
        <v>254</v>
      </c>
      <c r="H17" s="1751"/>
    </row>
    <row r="18" spans="1:8" ht="18" customHeight="1" x14ac:dyDescent="0.2">
      <c r="A18" s="608"/>
      <c r="B18" s="529"/>
      <c r="C18" s="530" t="s">
        <v>204</v>
      </c>
      <c r="D18" s="628" t="s">
        <v>326</v>
      </c>
      <c r="E18" s="142" t="s">
        <v>360</v>
      </c>
      <c r="F18" s="489"/>
      <c r="G18" s="1752"/>
      <c r="H18" s="1753"/>
    </row>
    <row r="19" spans="1:8" ht="18" customHeight="1" x14ac:dyDescent="0.2">
      <c r="A19" s="608"/>
      <c r="B19" s="532"/>
      <c r="C19" s="530" t="s">
        <v>27</v>
      </c>
      <c r="D19" s="629">
        <v>41002</v>
      </c>
      <c r="E19" s="142"/>
      <c r="F19" s="490"/>
      <c r="G19" s="1754"/>
      <c r="H19" s="1755"/>
    </row>
    <row r="20" spans="1:8" ht="18" customHeight="1" thickBot="1" x14ac:dyDescent="0.25">
      <c r="A20" s="617"/>
      <c r="B20" s="533"/>
      <c r="C20" s="534" t="s">
        <v>136</v>
      </c>
      <c r="D20" s="944">
        <f>'Input Data'!D21</f>
        <v>2012</v>
      </c>
      <c r="E20" s="538">
        <v>1</v>
      </c>
      <c r="F20" s="544" t="s">
        <v>206</v>
      </c>
      <c r="G20" s="1855" t="s">
        <v>413</v>
      </c>
      <c r="H20" s="1856"/>
    </row>
    <row r="21" spans="1:8" ht="18" customHeight="1" thickTop="1" x14ac:dyDescent="0.2">
      <c r="A21" s="1869" t="str">
        <f>'Input Data'!A22</f>
        <v>Fee in accordance with the National Department of Public Works Scope of Engineering Services and Tariff of Fees for Persons Registered in terms of the Engineering Profession Act, 2000 (Act No. 46 of 2000) dated 1 January 2012</v>
      </c>
      <c r="B21" s="1870"/>
      <c r="C21" s="1870"/>
      <c r="D21" s="1870"/>
      <c r="E21" s="1871"/>
      <c r="F21" s="544" t="s">
        <v>207</v>
      </c>
      <c r="G21" s="1855" t="s">
        <v>333</v>
      </c>
      <c r="H21" s="1856"/>
    </row>
    <row r="22" spans="1:8" ht="18" customHeight="1" x14ac:dyDescent="0.2">
      <c r="A22" s="1872"/>
      <c r="B22" s="1873"/>
      <c r="C22" s="1873"/>
      <c r="D22" s="1873"/>
      <c r="E22" s="1874"/>
      <c r="F22" s="544" t="s">
        <v>208</v>
      </c>
      <c r="G22" s="1867" t="s">
        <v>334</v>
      </c>
      <c r="H22" s="1856"/>
    </row>
    <row r="23" spans="1:8" ht="18" customHeight="1" x14ac:dyDescent="0.2">
      <c r="A23" s="1872"/>
      <c r="B23" s="1873"/>
      <c r="C23" s="1873"/>
      <c r="D23" s="1873"/>
      <c r="E23" s="1874"/>
      <c r="F23" s="544" t="s">
        <v>92</v>
      </c>
      <c r="G23" s="1847" t="s">
        <v>377</v>
      </c>
      <c r="H23" s="1848"/>
    </row>
    <row r="24" spans="1:8" ht="27.75" customHeight="1" thickBot="1" x14ac:dyDescent="0.25">
      <c r="A24" s="1875"/>
      <c r="B24" s="1876"/>
      <c r="C24" s="1876"/>
      <c r="D24" s="1876"/>
      <c r="E24" s="1877"/>
      <c r="F24" s="545" t="s">
        <v>315</v>
      </c>
      <c r="G24" s="1855" t="s">
        <v>412</v>
      </c>
      <c r="H24" s="1856"/>
    </row>
    <row r="25" spans="1:8" ht="18" customHeight="1" thickTop="1" x14ac:dyDescent="0.2">
      <c r="A25" s="1828" t="s">
        <v>28</v>
      </c>
      <c r="B25" s="1859"/>
      <c r="C25" s="1860"/>
      <c r="D25" s="344" t="s">
        <v>361</v>
      </c>
      <c r="E25" s="29"/>
      <c r="F25" s="546" t="s">
        <v>209</v>
      </c>
      <c r="G25" s="1855" t="s">
        <v>411</v>
      </c>
      <c r="H25" s="1856"/>
    </row>
    <row r="26" spans="1:8" ht="18" customHeight="1" x14ac:dyDescent="0.2">
      <c r="A26" s="630"/>
      <c r="B26" s="542"/>
      <c r="C26" s="543" t="s">
        <v>195</v>
      </c>
      <c r="D26" s="631">
        <v>100</v>
      </c>
      <c r="E26" s="429" t="s">
        <v>278</v>
      </c>
      <c r="F26" s="546" t="s">
        <v>210</v>
      </c>
      <c r="G26" s="1855" t="s">
        <v>333</v>
      </c>
      <c r="H26" s="1856"/>
    </row>
    <row r="27" spans="1:8" ht="18" customHeight="1" x14ac:dyDescent="0.2">
      <c r="A27" s="632"/>
      <c r="B27" s="539"/>
      <c r="C27" s="540" t="s">
        <v>114</v>
      </c>
      <c r="D27" s="633">
        <v>41243</v>
      </c>
      <c r="E27" s="345"/>
      <c r="F27" s="547" t="s">
        <v>327</v>
      </c>
      <c r="G27" s="1867" t="s">
        <v>335</v>
      </c>
      <c r="H27" s="1868"/>
    </row>
    <row r="28" spans="1:8" ht="18" customHeight="1" x14ac:dyDescent="0.2">
      <c r="A28" s="608"/>
      <c r="B28" s="529"/>
      <c r="C28" s="530" t="s">
        <v>473</v>
      </c>
      <c r="D28" s="613">
        <v>10</v>
      </c>
      <c r="E28" s="345"/>
      <c r="F28" s="548" t="s">
        <v>201</v>
      </c>
      <c r="G28" s="1855" t="s">
        <v>336</v>
      </c>
      <c r="H28" s="1856"/>
    </row>
    <row r="29" spans="1:8" ht="18" customHeight="1" x14ac:dyDescent="0.2">
      <c r="A29" s="608"/>
      <c r="B29" s="529"/>
      <c r="C29" s="530" t="s">
        <v>97</v>
      </c>
      <c r="D29" s="627" t="s">
        <v>342</v>
      </c>
      <c r="E29" s="345"/>
      <c r="F29" s="549" t="s">
        <v>211</v>
      </c>
      <c r="G29" s="1855" t="s">
        <v>337</v>
      </c>
      <c r="H29" s="1856"/>
    </row>
    <row r="30" spans="1:8" ht="18" customHeight="1" thickBot="1" x14ac:dyDescent="0.25">
      <c r="A30" s="608"/>
      <c r="B30" s="529"/>
      <c r="C30" s="530" t="s">
        <v>212</v>
      </c>
      <c r="D30" s="627" t="s">
        <v>348</v>
      </c>
      <c r="E30" s="500"/>
      <c r="F30" s="550" t="s">
        <v>213</v>
      </c>
      <c r="G30" s="1857" t="s">
        <v>338</v>
      </c>
      <c r="H30" s="1858"/>
    </row>
    <row r="31" spans="1:8" ht="18" customHeight="1" thickTop="1" x14ac:dyDescent="0.2">
      <c r="A31" s="608"/>
      <c r="B31" s="541"/>
      <c r="C31" s="530" t="s">
        <v>362</v>
      </c>
      <c r="D31" s="1853" t="s">
        <v>281</v>
      </c>
      <c r="E31" s="1854"/>
      <c r="F31" s="551">
        <v>6</v>
      </c>
      <c r="G31" s="21"/>
      <c r="H31" s="506"/>
    </row>
    <row r="32" spans="1:8" ht="18" customHeight="1" x14ac:dyDescent="0.2">
      <c r="A32" s="908"/>
      <c r="B32" s="875"/>
      <c r="C32" s="876" t="s">
        <v>378</v>
      </c>
      <c r="D32" s="877">
        <v>1</v>
      </c>
      <c r="E32" s="1824" t="s">
        <v>401</v>
      </c>
      <c r="F32" s="1825"/>
      <c r="G32" s="1826"/>
      <c r="H32" s="1827"/>
    </row>
    <row r="33" spans="1:8" ht="18" customHeight="1" x14ac:dyDescent="0.2">
      <c r="A33" s="1103"/>
      <c r="B33" s="1104"/>
      <c r="C33" s="1105" t="s">
        <v>156</v>
      </c>
      <c r="D33" s="634" t="s">
        <v>275</v>
      </c>
      <c r="E33" s="24"/>
      <c r="F33" s="24"/>
      <c r="G33" s="21"/>
      <c r="H33" s="506"/>
    </row>
    <row r="34" spans="1:8" ht="18" customHeight="1" thickBot="1" x14ac:dyDescent="0.25">
      <c r="A34" s="236"/>
      <c r="B34" s="1091"/>
      <c r="C34" s="24" t="s">
        <v>471</v>
      </c>
      <c r="D34" s="1123">
        <v>450000</v>
      </c>
      <c r="E34" s="24"/>
      <c r="F34" s="24"/>
      <c r="G34" s="21"/>
      <c r="H34" s="506"/>
    </row>
    <row r="35" spans="1:8" ht="18" customHeight="1" x14ac:dyDescent="0.2">
      <c r="A35" s="635"/>
      <c r="B35" s="554"/>
      <c r="C35" s="554"/>
      <c r="D35" s="555" t="s">
        <v>26</v>
      </c>
      <c r="E35" s="636" t="s">
        <v>269</v>
      </c>
      <c r="F35" s="21"/>
      <c r="G35" s="20"/>
      <c r="H35" s="507"/>
    </row>
    <row r="36" spans="1:8" ht="18" customHeight="1" x14ac:dyDescent="0.2">
      <c r="A36" s="608"/>
      <c r="B36" s="529"/>
      <c r="C36" s="529"/>
      <c r="D36" s="530" t="s">
        <v>330</v>
      </c>
      <c r="E36" s="637" t="s">
        <v>269</v>
      </c>
      <c r="F36" s="21"/>
      <c r="G36" s="20"/>
      <c r="H36" s="507"/>
    </row>
    <row r="37" spans="1:8" ht="18" customHeight="1" thickBot="1" x14ac:dyDescent="0.25">
      <c r="A37" s="617"/>
      <c r="B37" s="537"/>
      <c r="C37" s="537"/>
      <c r="D37" s="534" t="s">
        <v>137</v>
      </c>
      <c r="E37" s="638" t="s">
        <v>269</v>
      </c>
      <c r="F37" s="21"/>
      <c r="G37" s="25"/>
      <c r="H37" s="943">
        <f>'Input Data'!H38</f>
        <v>512000</v>
      </c>
    </row>
    <row r="38" spans="1:8" ht="67.5" customHeight="1" thickTop="1" thickBot="1" x14ac:dyDescent="0.25">
      <c r="A38" s="1844" t="s">
        <v>347</v>
      </c>
      <c r="B38" s="1845"/>
      <c r="C38" s="1845"/>
      <c r="D38" s="1846"/>
      <c r="E38" s="1121" t="s">
        <v>353</v>
      </c>
      <c r="F38" s="1861" t="s">
        <v>354</v>
      </c>
      <c r="G38" s="1863" t="s">
        <v>355</v>
      </c>
      <c r="H38" s="1865" t="s">
        <v>123</v>
      </c>
    </row>
    <row r="39" spans="1:8" ht="22.5" customHeight="1" thickBot="1" x14ac:dyDescent="0.25">
      <c r="A39" s="501" t="s">
        <v>172</v>
      </c>
      <c r="B39" s="494"/>
      <c r="C39" s="494"/>
      <c r="D39" s="639" t="s">
        <v>357</v>
      </c>
      <c r="E39" s="1122">
        <v>2</v>
      </c>
      <c r="F39" s="1862"/>
      <c r="G39" s="1864"/>
      <c r="H39" s="1866"/>
    </row>
    <row r="40" spans="1:8" ht="30" customHeight="1" thickTop="1" x14ac:dyDescent="0.2">
      <c r="A40" s="1779" t="s">
        <v>158</v>
      </c>
      <c r="B40" s="1780"/>
      <c r="C40" s="1780"/>
      <c r="D40" s="1781"/>
      <c r="E40" s="909">
        <v>2100000</v>
      </c>
      <c r="F40" s="909">
        <v>2100000</v>
      </c>
      <c r="G40" s="909">
        <v>2100000</v>
      </c>
      <c r="H40" s="1106">
        <v>2100000</v>
      </c>
    </row>
    <row r="41" spans="1:8" ht="30" customHeight="1" x14ac:dyDescent="0.2">
      <c r="A41" s="1741" t="s">
        <v>159</v>
      </c>
      <c r="B41" s="1744"/>
      <c r="C41" s="1744"/>
      <c r="D41" s="1745"/>
      <c r="E41" s="910">
        <v>1000000</v>
      </c>
      <c r="F41" s="910">
        <v>1000000</v>
      </c>
      <c r="G41" s="910">
        <v>1000000</v>
      </c>
      <c r="H41" s="1106">
        <v>1000000</v>
      </c>
    </row>
    <row r="42" spans="1:8" ht="32.25" customHeight="1" x14ac:dyDescent="0.2">
      <c r="A42" s="1741" t="s">
        <v>160</v>
      </c>
      <c r="B42" s="1742"/>
      <c r="C42" s="1742"/>
      <c r="D42" s="1743"/>
      <c r="E42" s="910">
        <v>900000</v>
      </c>
      <c r="F42" s="910">
        <v>900000</v>
      </c>
      <c r="G42" s="910">
        <v>900000</v>
      </c>
      <c r="H42" s="1106">
        <v>900000</v>
      </c>
    </row>
    <row r="43" spans="1:8" ht="41.25" customHeight="1" x14ac:dyDescent="0.2">
      <c r="A43" s="1741" t="s">
        <v>161</v>
      </c>
      <c r="B43" s="1744"/>
      <c r="C43" s="1744"/>
      <c r="D43" s="1745"/>
      <c r="E43" s="910">
        <v>800000</v>
      </c>
      <c r="F43" s="910">
        <v>800000</v>
      </c>
      <c r="G43" s="910">
        <v>800000</v>
      </c>
      <c r="H43" s="1106">
        <v>800000</v>
      </c>
    </row>
    <row r="44" spans="1:8" ht="42.75" customHeight="1" x14ac:dyDescent="0.2">
      <c r="A44" s="1741" t="s">
        <v>162</v>
      </c>
      <c r="B44" s="1742"/>
      <c r="C44" s="1742"/>
      <c r="D44" s="1743"/>
      <c r="E44" s="910">
        <v>700000</v>
      </c>
      <c r="F44" s="910">
        <v>700000</v>
      </c>
      <c r="G44" s="910">
        <v>700000</v>
      </c>
      <c r="H44" s="1106">
        <v>700000</v>
      </c>
    </row>
    <row r="45" spans="1:8" ht="47.25" customHeight="1" x14ac:dyDescent="0.2">
      <c r="A45" s="1741" t="s">
        <v>163</v>
      </c>
      <c r="B45" s="1742"/>
      <c r="C45" s="1742"/>
      <c r="D45" s="1743"/>
      <c r="E45" s="910">
        <v>600000</v>
      </c>
      <c r="F45" s="910">
        <v>600000</v>
      </c>
      <c r="G45" s="910">
        <v>600000</v>
      </c>
      <c r="H45" s="1106">
        <v>600000</v>
      </c>
    </row>
    <row r="46" spans="1:8" ht="30" customHeight="1" x14ac:dyDescent="0.2">
      <c r="A46" s="1741" t="s">
        <v>164</v>
      </c>
      <c r="B46" s="1742"/>
      <c r="C46" s="1742"/>
      <c r="D46" s="1743"/>
      <c r="E46" s="910">
        <v>500000</v>
      </c>
      <c r="F46" s="910">
        <v>500000</v>
      </c>
      <c r="G46" s="910">
        <v>500000</v>
      </c>
      <c r="H46" s="1106">
        <v>500000</v>
      </c>
    </row>
    <row r="47" spans="1:8" ht="41.25" customHeight="1" thickBot="1" x14ac:dyDescent="0.25">
      <c r="A47" s="1779" t="s">
        <v>165</v>
      </c>
      <c r="B47" s="1792"/>
      <c r="C47" s="1792"/>
      <c r="D47" s="1793"/>
      <c r="E47" s="910">
        <v>400000</v>
      </c>
      <c r="F47" s="910">
        <v>400000</v>
      </c>
      <c r="G47" s="910">
        <v>400000</v>
      </c>
      <c r="H47" s="1106">
        <v>400000</v>
      </c>
    </row>
    <row r="48" spans="1:8" ht="42.75" customHeight="1" thickBot="1" x14ac:dyDescent="0.25">
      <c r="A48" s="1784" t="s">
        <v>174</v>
      </c>
      <c r="B48" s="1785"/>
      <c r="C48" s="1785"/>
      <c r="D48" s="1786"/>
      <c r="E48" s="899">
        <v>4500000</v>
      </c>
      <c r="F48" s="899">
        <v>4500000</v>
      </c>
      <c r="G48" s="899">
        <v>4500000</v>
      </c>
      <c r="H48" s="735">
        <v>4500000</v>
      </c>
    </row>
    <row r="49" spans="1:8" ht="30" customHeight="1" thickBot="1" x14ac:dyDescent="0.25">
      <c r="A49" s="1787" t="s">
        <v>259</v>
      </c>
      <c r="B49" s="1788"/>
      <c r="C49" s="1788"/>
      <c r="D49" s="1789"/>
      <c r="E49" s="900">
        <v>11500000</v>
      </c>
      <c r="F49" s="900">
        <v>11500000</v>
      </c>
      <c r="G49" s="900">
        <v>11500000</v>
      </c>
      <c r="H49" s="900">
        <v>11500000</v>
      </c>
    </row>
    <row r="50" spans="1:8" ht="30" customHeight="1" thickBot="1" x14ac:dyDescent="0.25">
      <c r="A50" s="1790" t="s">
        <v>360</v>
      </c>
      <c r="B50" s="1791"/>
      <c r="C50" s="1791"/>
      <c r="D50" s="1791"/>
      <c r="E50" s="1791"/>
      <c r="F50" s="272" t="s">
        <v>360</v>
      </c>
      <c r="G50" s="274" t="s">
        <v>360</v>
      </c>
      <c r="H50" s="1107"/>
    </row>
    <row r="51" spans="1:8" ht="30" customHeight="1" thickBot="1" x14ac:dyDescent="0.25">
      <c r="A51" s="1904"/>
      <c r="B51" s="1905"/>
      <c r="C51" s="1905"/>
      <c r="D51" s="1905"/>
      <c r="E51" s="1906"/>
      <c r="F51" s="273"/>
      <c r="G51" s="273"/>
      <c r="H51" s="1108"/>
    </row>
    <row r="52" spans="1:8" ht="41.25" customHeight="1" thickBot="1" x14ac:dyDescent="0.25">
      <c r="A52" s="1794" t="s">
        <v>247</v>
      </c>
      <c r="B52" s="1795"/>
      <c r="C52" s="1795"/>
      <c r="D52" s="1796"/>
      <c r="E52" s="1119">
        <v>2000000</v>
      </c>
      <c r="F52" s="1119">
        <v>2000000</v>
      </c>
      <c r="G52" s="1119">
        <v>2000000</v>
      </c>
      <c r="H52" s="735">
        <v>2000000</v>
      </c>
    </row>
    <row r="53" spans="1:8" ht="45" customHeight="1" thickBot="1" x14ac:dyDescent="0.25">
      <c r="A53" s="1797" t="s">
        <v>175</v>
      </c>
      <c r="B53" s="1798"/>
      <c r="C53" s="1798"/>
      <c r="D53" s="1799"/>
      <c r="E53" s="1120">
        <v>15000000</v>
      </c>
      <c r="F53" s="1120">
        <v>15000000</v>
      </c>
      <c r="G53" s="1120">
        <v>15000000</v>
      </c>
      <c r="H53" s="1109">
        <v>15000000</v>
      </c>
    </row>
    <row r="54" spans="1:8" ht="30.75" customHeight="1" thickTop="1" thickBot="1" x14ac:dyDescent="0.25">
      <c r="A54" s="1898" t="s">
        <v>350</v>
      </c>
      <c r="B54" s="1899"/>
      <c r="C54" s="1899"/>
      <c r="D54" s="1899"/>
      <c r="E54" s="640"/>
      <c r="F54" s="640"/>
      <c r="G54" s="640"/>
      <c r="H54" s="1110"/>
    </row>
    <row r="55" spans="1:8" ht="51.75" customHeight="1" thickTop="1" thickBot="1" x14ac:dyDescent="0.25">
      <c r="A55" s="1782" t="s">
        <v>346</v>
      </c>
      <c r="B55" s="1783"/>
      <c r="C55" s="1783"/>
      <c r="D55" s="1783"/>
      <c r="E55" s="1783"/>
      <c r="F55" s="1783"/>
      <c r="G55" s="1118" t="s">
        <v>472</v>
      </c>
      <c r="H55" s="1111" t="s">
        <v>123</v>
      </c>
    </row>
    <row r="56" spans="1:8" ht="30" customHeight="1" thickTop="1" x14ac:dyDescent="0.2">
      <c r="A56" s="1900" t="s">
        <v>166</v>
      </c>
      <c r="B56" s="1901"/>
      <c r="C56" s="1901"/>
      <c r="D56" s="1901"/>
      <c r="E56" s="1902"/>
      <c r="F56" s="1903"/>
      <c r="G56" s="911">
        <v>6100000</v>
      </c>
      <c r="H56" s="1112">
        <v>6100000</v>
      </c>
    </row>
    <row r="57" spans="1:8" ht="30" customHeight="1" x14ac:dyDescent="0.2">
      <c r="A57" s="1808" t="s">
        <v>167</v>
      </c>
      <c r="B57" s="1809"/>
      <c r="C57" s="1809"/>
      <c r="D57" s="1809"/>
      <c r="E57" s="1809"/>
      <c r="F57" s="1809"/>
      <c r="G57" s="912">
        <v>900000</v>
      </c>
      <c r="H57" s="1113">
        <v>900000</v>
      </c>
    </row>
    <row r="58" spans="1:8" ht="30" customHeight="1" thickBot="1" x14ac:dyDescent="0.25">
      <c r="A58" s="1820" t="s">
        <v>181</v>
      </c>
      <c r="B58" s="1821"/>
      <c r="C58" s="1821"/>
      <c r="D58" s="1821"/>
      <c r="E58" s="1822"/>
      <c r="F58" s="1822"/>
      <c r="G58" s="903">
        <v>4500000</v>
      </c>
      <c r="H58" s="1114">
        <v>4500000</v>
      </c>
    </row>
    <row r="59" spans="1:8" ht="30" customHeight="1" thickBot="1" x14ac:dyDescent="0.25">
      <c r="A59" s="1787" t="s">
        <v>249</v>
      </c>
      <c r="B59" s="1811"/>
      <c r="C59" s="1811"/>
      <c r="D59" s="1811"/>
      <c r="E59" s="1812"/>
      <c r="F59" s="1812"/>
      <c r="G59" s="904">
        <v>11500000</v>
      </c>
      <c r="H59" s="1115">
        <v>11500000</v>
      </c>
    </row>
    <row r="60" spans="1:8" ht="36.75" customHeight="1" thickBot="1" x14ac:dyDescent="0.25">
      <c r="A60" s="1817" t="s">
        <v>248</v>
      </c>
      <c r="B60" s="1818"/>
      <c r="C60" s="1818"/>
      <c r="D60" s="1818"/>
      <c r="E60" s="1818"/>
      <c r="F60" s="1818"/>
      <c r="G60" s="911">
        <v>2000000</v>
      </c>
      <c r="H60" s="1116">
        <v>2000000</v>
      </c>
    </row>
    <row r="61" spans="1:8" ht="39.75" customHeight="1" thickBot="1" x14ac:dyDescent="0.25">
      <c r="A61" s="1814" t="s">
        <v>331</v>
      </c>
      <c r="B61" s="1815"/>
      <c r="C61" s="1815"/>
      <c r="D61" s="1815"/>
      <c r="E61" s="1815"/>
      <c r="F61" s="1815"/>
      <c r="G61" s="913">
        <v>15000000</v>
      </c>
      <c r="H61" s="1117">
        <v>15000000</v>
      </c>
    </row>
    <row r="62" spans="1:8" ht="15.75" thickTop="1" x14ac:dyDescent="0.2">
      <c r="A62" s="8"/>
      <c r="B62" s="8"/>
      <c r="C62" s="8"/>
      <c r="D62" s="8"/>
      <c r="E62" s="8"/>
      <c r="F62" s="8"/>
      <c r="G62" s="8"/>
    </row>
    <row r="67" ht="18.75" customHeight="1" x14ac:dyDescent="0.2"/>
    <row r="74" ht="25.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116" spans="1:8" x14ac:dyDescent="0.2">
      <c r="A116" s="1"/>
      <c r="B116" s="1"/>
      <c r="C116" s="1"/>
      <c r="D116" s="1"/>
      <c r="E116" s="1"/>
      <c r="F116" s="1"/>
      <c r="G116" s="1"/>
      <c r="H116" s="1"/>
    </row>
    <row r="117" spans="1:8" x14ac:dyDescent="0.2">
      <c r="A117" s="1802"/>
      <c r="B117" s="1803"/>
      <c r="C117" s="1803"/>
      <c r="D117" s="1803"/>
      <c r="E117" s="1803"/>
      <c r="F117" s="1803"/>
      <c r="G117" s="1803"/>
      <c r="H117" s="1803"/>
    </row>
  </sheetData>
  <sheetProtection password="CD4C" sheet="1" objects="1" scenarios="1" formatCells="0" formatColumns="0" formatRows="0"/>
  <mergeCells count="53">
    <mergeCell ref="A52:D52"/>
    <mergeCell ref="A53:D53"/>
    <mergeCell ref="A46:D46"/>
    <mergeCell ref="A48:D48"/>
    <mergeCell ref="A51:E51"/>
    <mergeCell ref="A49:D49"/>
    <mergeCell ref="A50:E50"/>
    <mergeCell ref="A47:D47"/>
    <mergeCell ref="A54:D54"/>
    <mergeCell ref="A117:H117"/>
    <mergeCell ref="A56:F56"/>
    <mergeCell ref="A57:F57"/>
    <mergeCell ref="A59:F59"/>
    <mergeCell ref="A61:F61"/>
    <mergeCell ref="A60:F60"/>
    <mergeCell ref="A58:F58"/>
    <mergeCell ref="A55:F55"/>
    <mergeCell ref="A1:H1"/>
    <mergeCell ref="E2:G2"/>
    <mergeCell ref="G17:H19"/>
    <mergeCell ref="D13:F13"/>
    <mergeCell ref="G4:H4"/>
    <mergeCell ref="D12:H12"/>
    <mergeCell ref="D11:H11"/>
    <mergeCell ref="A21:E24"/>
    <mergeCell ref="D8:E8"/>
    <mergeCell ref="D14:F14"/>
    <mergeCell ref="G20:H20"/>
    <mergeCell ref="G21:H21"/>
    <mergeCell ref="G22:H22"/>
    <mergeCell ref="G23:H23"/>
    <mergeCell ref="G24:H24"/>
    <mergeCell ref="D16:E16"/>
    <mergeCell ref="G8:H8"/>
    <mergeCell ref="G29:H29"/>
    <mergeCell ref="G30:H30"/>
    <mergeCell ref="A38:D38"/>
    <mergeCell ref="A25:C25"/>
    <mergeCell ref="F38:F39"/>
    <mergeCell ref="G38:G39"/>
    <mergeCell ref="H38:H39"/>
    <mergeCell ref="G27:H27"/>
    <mergeCell ref="G28:H28"/>
    <mergeCell ref="G25:H25"/>
    <mergeCell ref="G26:H26"/>
    <mergeCell ref="A45:D45"/>
    <mergeCell ref="A43:D43"/>
    <mergeCell ref="A42:D42"/>
    <mergeCell ref="D31:E31"/>
    <mergeCell ref="A44:D44"/>
    <mergeCell ref="A40:D40"/>
    <mergeCell ref="A41:D41"/>
    <mergeCell ref="E32:H32"/>
  </mergeCells>
  <phoneticPr fontId="0" type="noConversion"/>
  <dataValidations count="6">
    <dataValidation type="list" allowBlank="1" showInputMessage="1" showErrorMessage="1" sqref="D8:E8">
      <formula1>"CIVIL ENGINEERING,STRUCTURAL ENGINEERING, CIVIL &amp; STRUCTURAL ENGINEERING"</formula1>
    </dataValidation>
    <dataValidation type="list" allowBlank="1" showInputMessage="1" showErrorMessage="1" sqref="D39">
      <formula1>"ESTIMATES ONLY, TENDER VALUES"</formula1>
    </dataValidation>
    <dataValidation type="list" allowBlank="1" showInputMessage="1" showErrorMessage="1" sqref="E35:E37 D33">
      <formula1>"Y,N"</formula1>
    </dataValidation>
    <dataValidation type="list" allowBlank="1" showInputMessage="1" showErrorMessage="1" sqref="D31:E31">
      <formula1>"INCEPTION, CONCEPT &amp; VIABILITY,DESIGN DEVELOPMENT,DOCUMENTATION &amp; PROCUREMENT,CONTRACT ADMINISTRATION &amp; INSPECTION, CLOSE OUT"</formula1>
    </dataValidation>
    <dataValidation type="list" allowBlank="1" showInputMessage="1" showErrorMessage="1" sqref="D9">
      <formula1>"MULTI-DISCIPLINARY PROJECT,ENGINEERING PROJECT"</formula1>
    </dataValidation>
    <dataValidation type="list" allowBlank="1" showInputMessage="1" showErrorMessage="1" sqref="D10">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1"/>
  <headerFooter alignWithMargins="0">
    <oddFooter>&amp;L&amp;"Arial,Regular"&amp;8&amp;F: &amp;A&amp;C&amp;"Arial,Regular"&amp;11&amp;P&amp;R&amp;"Arial,Regular"&amp;8&amp;D</oddFooter>
  </headerFooter>
  <rowBreaks count="1" manualBreakCount="1">
    <brk id="53" max="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2"/>
  </sheetPr>
  <dimension ref="A1:S180"/>
  <sheetViews>
    <sheetView tabSelected="1" zoomScale="70" zoomScaleNormal="70" zoomScaleSheetLayoutView="70" workbookViewId="0"/>
  </sheetViews>
  <sheetFormatPr defaultRowHeight="15" x14ac:dyDescent="0.2"/>
  <cols>
    <col min="1" max="1" width="17.44140625" customWidth="1"/>
    <col min="2" max="2" width="17.21875" customWidth="1"/>
    <col min="3" max="3" width="5.6640625" customWidth="1"/>
    <col min="4" max="4" width="5" customWidth="1"/>
    <col min="5" max="5" width="4.33203125" customWidth="1"/>
    <col min="6" max="6" width="2.44140625" customWidth="1"/>
    <col min="7" max="7" width="5.109375" customWidth="1"/>
    <col min="8" max="8" width="1.88671875" customWidth="1"/>
    <col min="9" max="9" width="5.109375" customWidth="1"/>
    <col min="10" max="10" width="4.33203125" customWidth="1"/>
    <col min="11" max="11" width="12.21875" customWidth="1"/>
    <col min="12" max="12" width="3.21875" customWidth="1"/>
    <col min="13" max="13" width="13.88671875" customWidth="1"/>
    <col min="14" max="14" width="6.109375" customWidth="1"/>
    <col min="15" max="15" width="16" customWidth="1"/>
    <col min="16" max="16" width="7.21875" customWidth="1"/>
    <col min="17" max="17" width="18.77734375" customWidth="1"/>
    <col min="18" max="18" width="10.21875" bestFit="1" customWidth="1"/>
    <col min="19" max="19" width="16.44140625" bestFit="1" customWidth="1"/>
  </cols>
  <sheetData>
    <row r="1" spans="1:18" ht="38.25" customHeight="1" thickTop="1" x14ac:dyDescent="0.2">
      <c r="A1" s="509"/>
      <c r="B1" s="510"/>
      <c r="C1" s="510"/>
      <c r="D1" s="496"/>
      <c r="E1" s="479"/>
      <c r="F1" s="479"/>
      <c r="G1" s="480"/>
      <c r="H1" s="481"/>
      <c r="I1" s="481"/>
      <c r="J1" s="482"/>
      <c r="K1" s="479" t="s">
        <v>345</v>
      </c>
      <c r="L1" s="496"/>
      <c r="M1" s="568"/>
      <c r="N1" s="483"/>
      <c r="O1" s="574"/>
      <c r="P1" s="496"/>
      <c r="Q1" s="600"/>
      <c r="R1" s="129"/>
    </row>
    <row r="2" spans="1:18" ht="28.5" customHeight="1" x14ac:dyDescent="0.2">
      <c r="A2" s="511" t="s">
        <v>283</v>
      </c>
      <c r="B2" s="512"/>
      <c r="C2" s="512"/>
      <c r="D2" s="29"/>
      <c r="E2" s="29"/>
      <c r="F2" s="484"/>
      <c r="G2" s="29"/>
      <c r="H2" s="484"/>
      <c r="I2" s="376"/>
      <c r="J2" s="376"/>
      <c r="K2" s="29"/>
      <c r="L2" s="567" t="str">
        <f>'Input Data'!E2</f>
        <v xml:space="preserve">STRUCTURAL ENGINEERING  </v>
      </c>
      <c r="M2" s="485" t="str">
        <f>'Input Data'!E3</f>
        <v>ENGINEERING PROJECT:  2012 NDPW FEES</v>
      </c>
      <c r="N2" s="486"/>
      <c r="O2" s="376"/>
      <c r="P2" s="376"/>
      <c r="Q2" s="593" t="str">
        <f>'Input Data'!H4</f>
        <v>Version: 1.1  2012-10</v>
      </c>
      <c r="R2" s="129"/>
    </row>
    <row r="3" spans="1:18" ht="15" customHeight="1" thickBot="1" x14ac:dyDescent="0.25">
      <c r="A3" s="377"/>
      <c r="B3" s="22"/>
      <c r="C3" s="22"/>
      <c r="D3" s="370"/>
      <c r="E3" s="22"/>
      <c r="F3" s="371"/>
      <c r="G3" s="371"/>
      <c r="H3" s="371"/>
      <c r="I3" s="22"/>
      <c r="J3" s="22"/>
      <c r="K3" s="29"/>
      <c r="L3" s="350" t="s">
        <v>473</v>
      </c>
      <c r="M3" s="584">
        <f>'Input Data'!D29</f>
        <v>0</v>
      </c>
      <c r="N3" s="22"/>
      <c r="O3" s="29"/>
      <c r="P3" s="348" t="s">
        <v>114</v>
      </c>
      <c r="Q3" s="449">
        <f>'Input Data'!D28</f>
        <v>0</v>
      </c>
      <c r="R3" s="129"/>
    </row>
    <row r="4" spans="1:18" ht="18" customHeight="1" thickTop="1" thickBot="1" x14ac:dyDescent="0.25">
      <c r="A4" s="347" t="s">
        <v>253</v>
      </c>
      <c r="B4" s="442">
        <f>'Input Data'!D6</f>
        <v>0</v>
      </c>
      <c r="C4" s="1983" t="s">
        <v>284</v>
      </c>
      <c r="D4" s="1984"/>
      <c r="E4" s="1984"/>
      <c r="F4" s="1984"/>
      <c r="G4" s="1984"/>
      <c r="H4" s="1985">
        <f>'Input Data'!$D$7</f>
        <v>0</v>
      </c>
      <c r="I4" s="1986"/>
      <c r="J4" s="31"/>
      <c r="K4" s="31"/>
      <c r="L4" s="32"/>
      <c r="M4" s="29"/>
      <c r="N4" s="29"/>
      <c r="O4" s="346" t="s">
        <v>214</v>
      </c>
      <c r="P4" s="1948">
        <f>'Input Data'!D8</f>
        <v>0</v>
      </c>
      <c r="Q4" s="1966"/>
      <c r="R4" s="129"/>
    </row>
    <row r="5" spans="1:18" ht="20.25" customHeight="1" thickTop="1" thickBot="1" x14ac:dyDescent="0.25">
      <c r="A5" s="440" t="s">
        <v>17</v>
      </c>
      <c r="B5" s="1970">
        <f>'Input Data'!D12</f>
        <v>0</v>
      </c>
      <c r="C5" s="1971"/>
      <c r="D5" s="1971"/>
      <c r="E5" s="1971"/>
      <c r="F5" s="1971"/>
      <c r="G5" s="1971"/>
      <c r="H5" s="1971"/>
      <c r="I5" s="1971"/>
      <c r="J5" s="1971"/>
      <c r="K5" s="1971"/>
      <c r="L5" s="1971"/>
      <c r="M5" s="1971"/>
      <c r="N5" s="1971"/>
      <c r="O5" s="1971"/>
      <c r="P5" s="1971"/>
      <c r="Q5" s="1972"/>
      <c r="R5" s="129"/>
    </row>
    <row r="6" spans="1:18" ht="20.100000000000001" customHeight="1" thickTop="1" x14ac:dyDescent="0.2">
      <c r="A6" s="364" t="s">
        <v>205</v>
      </c>
      <c r="B6" s="1973" t="str">
        <f>'Input Data'!G18</f>
        <v>NATIONAL DEPARTMENT OF PUBLIC WORKS</v>
      </c>
      <c r="C6" s="1974"/>
      <c r="D6" s="1974"/>
      <c r="E6" s="1974"/>
      <c r="F6" s="1974"/>
      <c r="G6" s="1974"/>
      <c r="H6" s="1974"/>
      <c r="I6" s="1974"/>
      <c r="J6" s="1975"/>
      <c r="K6" s="1978" t="s">
        <v>215</v>
      </c>
      <c r="L6" s="1792"/>
      <c r="M6" s="497">
        <f>'Input Data'!D5</f>
        <v>0</v>
      </c>
      <c r="N6" s="1979" t="s">
        <v>216</v>
      </c>
      <c r="O6" s="1980"/>
      <c r="P6" s="1968" t="str">
        <f>'Input Data'!G24</f>
        <v>NOT REGISTERED</v>
      </c>
      <c r="Q6" s="1969"/>
      <c r="R6" s="129"/>
    </row>
    <row r="7" spans="1:18" ht="20.100000000000001" customHeight="1" x14ac:dyDescent="0.2">
      <c r="A7" s="364" t="s">
        <v>246</v>
      </c>
      <c r="B7" s="1976">
        <f>'Input Data'!G21</f>
        <v>0</v>
      </c>
      <c r="C7" s="1977"/>
      <c r="D7" s="1977"/>
      <c r="E7" s="1977"/>
      <c r="F7" s="1977"/>
      <c r="G7" s="1977"/>
      <c r="H7" s="1977"/>
      <c r="I7" s="1977"/>
      <c r="J7" s="1977"/>
      <c r="K7" s="1978" t="s">
        <v>217</v>
      </c>
      <c r="L7" s="1792"/>
      <c r="M7" s="1952">
        <f>'Input Data'!G22</f>
        <v>0</v>
      </c>
      <c r="N7" s="1953"/>
      <c r="O7" s="1953"/>
      <c r="P7" s="351" t="s">
        <v>327</v>
      </c>
      <c r="Q7" s="450">
        <f>'Input Data'!G23</f>
        <v>0</v>
      </c>
      <c r="R7" s="129"/>
    </row>
    <row r="8" spans="1:18" ht="20.100000000000001" customHeight="1" x14ac:dyDescent="0.2">
      <c r="A8" s="364" t="s">
        <v>328</v>
      </c>
      <c r="B8" s="1976">
        <f>'Input Data'!G26</f>
        <v>0</v>
      </c>
      <c r="C8" s="1977"/>
      <c r="D8" s="1977"/>
      <c r="E8" s="1977"/>
      <c r="F8" s="1977"/>
      <c r="G8" s="1977"/>
      <c r="H8" s="1977"/>
      <c r="I8" s="1977"/>
      <c r="J8" s="1977"/>
      <c r="K8" s="1978" t="s">
        <v>218</v>
      </c>
      <c r="L8" s="1792"/>
      <c r="M8" s="1952">
        <f>'Input Data'!G27</f>
        <v>0</v>
      </c>
      <c r="N8" s="1953"/>
      <c r="O8" s="1953"/>
      <c r="P8" s="351" t="s">
        <v>327</v>
      </c>
      <c r="Q8" s="450">
        <f>'Input Data'!G28</f>
        <v>0</v>
      </c>
      <c r="R8" s="129"/>
    </row>
    <row r="9" spans="1:18" ht="20.100000000000001" customHeight="1" x14ac:dyDescent="0.2">
      <c r="A9" s="364" t="s">
        <v>219</v>
      </c>
      <c r="B9" s="1976">
        <f>'Input Data'!G25</f>
        <v>0</v>
      </c>
      <c r="C9" s="1977"/>
      <c r="D9" s="1977"/>
      <c r="E9" s="1977"/>
      <c r="F9" s="1977"/>
      <c r="G9" s="1977"/>
      <c r="H9" s="1977"/>
      <c r="I9" s="1977"/>
      <c r="J9" s="1987"/>
      <c r="K9" s="22"/>
      <c r="L9" s="499" t="s">
        <v>220</v>
      </c>
      <c r="M9" s="444">
        <f>'Input Data'!G29</f>
        <v>0</v>
      </c>
      <c r="N9" s="351" t="s">
        <v>344</v>
      </c>
      <c r="O9" s="444">
        <f>'Input Data'!G30</f>
        <v>0</v>
      </c>
      <c r="P9" s="351" t="s">
        <v>222</v>
      </c>
      <c r="Q9" s="451">
        <f>'Input Data'!G31</f>
        <v>0</v>
      </c>
      <c r="R9" s="129"/>
    </row>
    <row r="10" spans="1:18" ht="20.100000000000001" customHeight="1" thickBot="1" x14ac:dyDescent="0.25">
      <c r="A10" s="502" t="s">
        <v>223</v>
      </c>
      <c r="B10" s="1988">
        <f>'Input Data'!G5</f>
        <v>0</v>
      </c>
      <c r="C10" s="1989"/>
      <c r="D10" s="1989"/>
      <c r="E10" s="1989"/>
      <c r="F10" s="1989"/>
      <c r="G10" s="1989"/>
      <c r="H10" s="1990"/>
      <c r="I10" s="352" t="s">
        <v>138</v>
      </c>
      <c r="J10" s="1993">
        <f>'Input Data'!G6</f>
        <v>0</v>
      </c>
      <c r="K10" s="1994"/>
      <c r="L10" s="498" t="s">
        <v>157</v>
      </c>
      <c r="M10" s="441">
        <f>'Input Data'!G7</f>
        <v>0</v>
      </c>
      <c r="N10" s="573" t="s">
        <v>224</v>
      </c>
      <c r="O10" s="1954">
        <f>'Input Data'!G9</f>
        <v>0</v>
      </c>
      <c r="P10" s="1955"/>
      <c r="Q10" s="1858"/>
      <c r="R10" s="129"/>
    </row>
    <row r="11" spans="1:18" ht="23.25" customHeight="1" thickTop="1" x14ac:dyDescent="0.2">
      <c r="A11" s="487" t="s">
        <v>288</v>
      </c>
      <c r="B11" s="462"/>
      <c r="C11" s="463"/>
      <c r="D11" s="463"/>
      <c r="E11" s="463"/>
      <c r="F11" s="463"/>
      <c r="G11" s="463"/>
      <c r="H11" s="463"/>
      <c r="I11" s="463"/>
      <c r="J11" s="582"/>
      <c r="K11" s="583"/>
      <c r="L11" s="464"/>
      <c r="M11" s="465"/>
      <c r="N11" s="466"/>
      <c r="O11" s="461"/>
      <c r="P11" s="463"/>
      <c r="Q11" s="513"/>
      <c r="R11" s="129"/>
    </row>
    <row r="12" spans="1:18" ht="20.100000000000001" customHeight="1" x14ac:dyDescent="0.2">
      <c r="A12" s="364" t="s">
        <v>343</v>
      </c>
      <c r="B12" s="1981">
        <f>'Input Data'!D13</f>
        <v>0</v>
      </c>
      <c r="C12" s="1982"/>
      <c r="D12" s="1982"/>
      <c r="E12" s="1982"/>
      <c r="F12" s="1982"/>
      <c r="G12" s="1982"/>
      <c r="H12" s="1982"/>
      <c r="I12" s="1982"/>
      <c r="J12" s="1982"/>
      <c r="K12" s="1982"/>
      <c r="L12" s="1982"/>
      <c r="M12" s="1982"/>
      <c r="N12" s="1982"/>
      <c r="O12" s="467" t="s">
        <v>212</v>
      </c>
      <c r="P12" s="1967">
        <f>'Input Data'!D31</f>
        <v>0</v>
      </c>
      <c r="Q12" s="1868"/>
      <c r="R12" s="129"/>
    </row>
    <row r="13" spans="1:18" ht="20.100000000000001" customHeight="1" x14ac:dyDescent="0.2">
      <c r="A13" s="30" t="s">
        <v>134</v>
      </c>
      <c r="B13" s="1948">
        <f>'Input Data'!D14</f>
        <v>0</v>
      </c>
      <c r="C13" s="1880"/>
      <c r="D13" s="1880"/>
      <c r="E13" s="1880"/>
      <c r="F13" s="1880"/>
      <c r="G13" s="1880"/>
      <c r="H13" s="1880"/>
      <c r="I13" s="1880"/>
      <c r="J13" s="1880"/>
      <c r="K13" s="1880"/>
      <c r="L13" s="1880"/>
      <c r="M13" s="1880"/>
      <c r="N13" s="1880"/>
      <c r="O13" s="1880"/>
      <c r="P13" s="350" t="s">
        <v>327</v>
      </c>
      <c r="Q13" s="562">
        <f>'Input Data'!H14</f>
        <v>0</v>
      </c>
      <c r="R13" s="129"/>
    </row>
    <row r="14" spans="1:18" ht="20.100000000000001" customHeight="1" x14ac:dyDescent="0.2">
      <c r="A14" s="30" t="s">
        <v>328</v>
      </c>
      <c r="B14" s="1948">
        <f>'Input Data'!D15</f>
        <v>0</v>
      </c>
      <c r="C14" s="1880"/>
      <c r="D14" s="1880"/>
      <c r="E14" s="1880"/>
      <c r="F14" s="1880"/>
      <c r="G14" s="1880"/>
      <c r="H14" s="1880"/>
      <c r="I14" s="1880"/>
      <c r="J14" s="1880"/>
      <c r="K14" s="1880"/>
      <c r="L14" s="1880"/>
      <c r="M14" s="1880"/>
      <c r="N14" s="1880"/>
      <c r="O14" s="1992"/>
      <c r="P14" s="351" t="s">
        <v>327</v>
      </c>
      <c r="Q14" s="563">
        <f>'Input Data'!H15</f>
        <v>0</v>
      </c>
      <c r="R14" s="129"/>
    </row>
    <row r="15" spans="1:18" ht="20.100000000000001" customHeight="1" x14ac:dyDescent="0.2">
      <c r="A15" s="377"/>
      <c r="B15" s="364" t="s">
        <v>92</v>
      </c>
      <c r="C15" s="1950">
        <f>IF('Input Data'!E18="None","NOT REGITERED FOR VAT",'Input Data'!E18)</f>
        <v>0</v>
      </c>
      <c r="D15" s="1951"/>
      <c r="E15" s="1951"/>
      <c r="F15" s="1951"/>
      <c r="G15" s="1951"/>
      <c r="H15" s="1951"/>
      <c r="I15" s="1951"/>
      <c r="J15" s="1951"/>
      <c r="K15" s="29"/>
      <c r="L15" s="22"/>
      <c r="M15" s="29"/>
      <c r="N15" s="443" t="s">
        <v>204</v>
      </c>
      <c r="O15" s="1948">
        <f>'Input Data'!D19</f>
        <v>0</v>
      </c>
      <c r="P15" s="1880"/>
      <c r="Q15" s="1949"/>
      <c r="R15" s="129"/>
    </row>
    <row r="16" spans="1:18" ht="20.100000000000001" customHeight="1" x14ac:dyDescent="0.2">
      <c r="A16" s="30" t="s">
        <v>27</v>
      </c>
      <c r="B16" s="564">
        <f>'Input Data'!D20</f>
        <v>0</v>
      </c>
      <c r="C16" s="374"/>
      <c r="D16" s="374"/>
      <c r="E16" s="374"/>
      <c r="F16" s="373"/>
      <c r="G16" s="373"/>
      <c r="H16" s="373"/>
      <c r="I16" s="373"/>
      <c r="J16" s="22"/>
      <c r="K16" s="29"/>
      <c r="L16" s="1991"/>
      <c r="M16" s="1927"/>
      <c r="N16" s="372"/>
      <c r="O16" s="22"/>
      <c r="P16" s="350" t="s">
        <v>225</v>
      </c>
      <c r="Q16" s="450">
        <f>'Input Data'!F16</f>
        <v>0</v>
      </c>
      <c r="R16" s="129"/>
    </row>
    <row r="17" spans="1:19" ht="20.100000000000001" customHeight="1" x14ac:dyDescent="0.2">
      <c r="A17" s="349" t="s">
        <v>285</v>
      </c>
      <c r="B17" s="1948">
        <f>'Input Data'!D30</f>
        <v>0</v>
      </c>
      <c r="C17" s="1880"/>
      <c r="D17" s="1880"/>
      <c r="E17" s="1880"/>
      <c r="F17" s="1880"/>
      <c r="G17" s="1880"/>
      <c r="H17" s="1880"/>
      <c r="I17" s="1880"/>
      <c r="J17" s="29"/>
      <c r="K17" s="350"/>
      <c r="L17" s="29"/>
      <c r="M17" s="350" t="s">
        <v>220</v>
      </c>
      <c r="N17" s="1948">
        <f>'Input Data'!D16</f>
        <v>0</v>
      </c>
      <c r="O17" s="1880"/>
      <c r="P17" s="350" t="s">
        <v>221</v>
      </c>
      <c r="Q17" s="450">
        <f>'Input Data'!H16</f>
        <v>0</v>
      </c>
      <c r="R17" s="129"/>
    </row>
    <row r="18" spans="1:19" ht="20.100000000000001" customHeight="1" thickBot="1" x14ac:dyDescent="0.25">
      <c r="A18" s="362" t="s">
        <v>28</v>
      </c>
      <c r="B18" s="31"/>
      <c r="C18" s="2004" t="str">
        <f>'Input Data'!D26</f>
        <v>USE TIME BASED FEES</v>
      </c>
      <c r="D18" s="2005"/>
      <c r="E18" s="2005"/>
      <c r="F18" s="2005"/>
      <c r="G18" s="2005"/>
      <c r="H18" s="2005"/>
      <c r="I18" s="2005"/>
      <c r="J18" s="31"/>
      <c r="K18" s="348"/>
      <c r="L18" s="348"/>
      <c r="M18" s="430"/>
      <c r="N18" s="430" t="s">
        <v>224</v>
      </c>
      <c r="O18" s="1959">
        <f>'Input Data'!D17</f>
        <v>0</v>
      </c>
      <c r="P18" s="1960"/>
      <c r="Q18" s="1961"/>
      <c r="R18" s="129"/>
    </row>
    <row r="19" spans="1:19" ht="24.75" customHeight="1" thickTop="1" thickBot="1" x14ac:dyDescent="0.25">
      <c r="A19" s="354" t="str">
        <f>IF('Input Data'!$F$32&gt;4,"STAGE:","STAGE COMPLETED:")</f>
        <v>STAGE COMPLETED:</v>
      </c>
      <c r="B19" s="1956" t="str">
        <f>'Input Data'!D32</f>
        <v>DETAIL DESIGN</v>
      </c>
      <c r="C19" s="1957"/>
      <c r="D19" s="1957"/>
      <c r="E19" s="1957"/>
      <c r="F19" s="1957"/>
      <c r="G19" s="1957"/>
      <c r="H19" s="1957"/>
      <c r="I19" s="1957"/>
      <c r="J19" s="1957"/>
      <c r="K19" s="1957"/>
      <c r="L19" s="2006" t="str">
        <f>IF('Input Data'!$E$40=1,"ESTIMATED TOTAL VALUE OF ENGINEERING WORK","TOTAL VALUE OF ENGINEERING WORK")</f>
        <v>ESTIMATED TOTAL VALUE OF ENGINEERING WORK</v>
      </c>
      <c r="M19" s="2007"/>
      <c r="N19" s="2007"/>
      <c r="O19" s="2007"/>
      <c r="P19" s="2008"/>
      <c r="Q19" s="926">
        <f>IF('Input Data'!E40&lt;2,0.8*'Input Data'!H50,'Input Data'!H50)</f>
        <v>0</v>
      </c>
      <c r="R19" s="1443"/>
      <c r="S19" s="1172"/>
    </row>
    <row r="20" spans="1:19" ht="23.25" customHeight="1" thickTop="1" thickBot="1" x14ac:dyDescent="0.25">
      <c r="A20" s="2000" t="s">
        <v>191</v>
      </c>
      <c r="B20" s="2001"/>
      <c r="C20" s="2001"/>
      <c r="D20" s="2001"/>
      <c r="E20" s="2001"/>
      <c r="F20" s="2001"/>
      <c r="G20" s="2001"/>
      <c r="H20" s="2001"/>
      <c r="I20" s="2001"/>
      <c r="J20" s="2002">
        <f>IF('Input Data'!E40&lt;2,0.8*'Input Data'!H52,'Input Data'!H52)</f>
        <v>0</v>
      </c>
      <c r="K20" s="2003"/>
      <c r="L20" s="1962" t="str">
        <f>IF('Input Data'!$E$40=1,"ESTIMATED TOTAL VALUE OF PROJECT","TOTAL VALUE OF PROJECT")</f>
        <v>ESTIMATED TOTAL VALUE OF PROJECT</v>
      </c>
      <c r="M20" s="1963"/>
      <c r="N20" s="1963"/>
      <c r="O20" s="1963"/>
      <c r="P20" s="1963"/>
      <c r="Q20" s="927">
        <f>IF('Input Data'!E40&lt;2,0.8*'Input Data'!H53,'Input Data'!H53)</f>
        <v>0</v>
      </c>
      <c r="R20" s="1443"/>
      <c r="S20" s="1172"/>
    </row>
    <row r="21" spans="1:19" ht="22.5" customHeight="1" thickTop="1" x14ac:dyDescent="0.2">
      <c r="A21" s="33" t="s">
        <v>271</v>
      </c>
      <c r="B21" s="34"/>
      <c r="C21" s="34"/>
      <c r="D21" s="34"/>
      <c r="E21" s="34"/>
      <c r="F21" s="34"/>
      <c r="G21" s="34"/>
      <c r="H21" s="34"/>
      <c r="I21" s="34"/>
      <c r="J21" s="34"/>
      <c r="K21" s="34"/>
      <c r="L21" s="34"/>
      <c r="M21" s="34"/>
      <c r="N21" s="34"/>
      <c r="O21" s="34"/>
      <c r="P21" s="34"/>
      <c r="Q21" s="35"/>
      <c r="R21" s="1443"/>
      <c r="S21" s="1172"/>
    </row>
    <row r="22" spans="1:19" ht="12" customHeight="1" x14ac:dyDescent="0.2">
      <c r="A22" s="44"/>
      <c r="B22" s="19"/>
      <c r="C22" s="20"/>
      <c r="D22" s="45"/>
      <c r="E22" s="45"/>
      <c r="F22" s="45"/>
      <c r="G22" s="45"/>
      <c r="H22" s="45"/>
      <c r="I22" s="20"/>
      <c r="J22" s="20"/>
      <c r="K22" s="46"/>
      <c r="L22" s="25"/>
      <c r="M22" s="48"/>
      <c r="N22" s="40"/>
      <c r="O22" s="25"/>
      <c r="P22" s="25"/>
      <c r="Q22" s="437"/>
      <c r="R22" s="1443"/>
      <c r="S22" s="1172"/>
    </row>
    <row r="23" spans="1:19" x14ac:dyDescent="0.2">
      <c r="A23" s="1946" t="s">
        <v>148</v>
      </c>
      <c r="B23" s="1927"/>
      <c r="C23" s="1927"/>
      <c r="D23" s="1927"/>
      <c r="E23" s="1927"/>
      <c r="F23" s="1927"/>
      <c r="G23" s="1927"/>
      <c r="H23" s="1927"/>
      <c r="I23" s="1927"/>
      <c r="J23" s="1927"/>
      <c r="K23" s="1927"/>
      <c r="L23" s="1927"/>
      <c r="M23" s="1927"/>
      <c r="N23" s="29"/>
      <c r="O23" s="29"/>
      <c r="P23" s="29"/>
      <c r="Q23" s="736">
        <f>Q121</f>
        <v>0</v>
      </c>
      <c r="R23" s="1443"/>
      <c r="S23" s="1172"/>
    </row>
    <row r="24" spans="1:19" ht="8.25" customHeight="1" x14ac:dyDescent="0.2">
      <c r="A24" s="63"/>
      <c r="B24" s="64"/>
      <c r="C24" s="19"/>
      <c r="D24" s="19"/>
      <c r="E24" s="19"/>
      <c r="F24" s="19"/>
      <c r="G24" s="29"/>
      <c r="H24" s="29"/>
      <c r="I24" s="29"/>
      <c r="J24" s="29"/>
      <c r="K24" s="29"/>
      <c r="L24" s="29"/>
      <c r="M24" s="29"/>
      <c r="N24" s="29"/>
      <c r="O24" s="29"/>
      <c r="P24" s="29"/>
      <c r="Q24" s="736"/>
      <c r="R24" s="1443"/>
      <c r="S24" s="1172"/>
    </row>
    <row r="25" spans="1:19" ht="16.5" customHeight="1" x14ac:dyDescent="0.2">
      <c r="A25" s="1947" t="s">
        <v>108</v>
      </c>
      <c r="B25" s="1927"/>
      <c r="C25" s="1927"/>
      <c r="D25" s="1927"/>
      <c r="E25" s="1927"/>
      <c r="F25" s="1927"/>
      <c r="G25" s="1927"/>
      <c r="H25" s="1927"/>
      <c r="I25" s="1927"/>
      <c r="J25" s="1927"/>
      <c r="K25" s="1927"/>
      <c r="L25" s="1927"/>
      <c r="M25" s="1927"/>
      <c r="N25" s="1927"/>
      <c r="O25" s="29"/>
      <c r="P25" s="29"/>
      <c r="Q25" s="736">
        <f>Q124</f>
        <v>0</v>
      </c>
      <c r="R25" s="1443"/>
      <c r="S25" s="1172"/>
    </row>
    <row r="26" spans="1:19" ht="12.75" customHeight="1" x14ac:dyDescent="0.2">
      <c r="A26" s="427"/>
      <c r="B26" s="376"/>
      <c r="C26" s="376"/>
      <c r="D26" s="376"/>
      <c r="E26" s="4"/>
      <c r="F26" s="4"/>
      <c r="G26" s="29"/>
      <c r="H26" s="29"/>
      <c r="I26" s="29"/>
      <c r="J26" s="29"/>
      <c r="K26" s="29"/>
      <c r="L26" s="29"/>
      <c r="M26" s="29"/>
      <c r="N26" s="29"/>
      <c r="O26" s="29"/>
      <c r="P26" s="29"/>
      <c r="Q26" s="736"/>
      <c r="R26" s="1443"/>
      <c r="S26" s="1172"/>
    </row>
    <row r="27" spans="1:19" ht="15.75" customHeight="1" x14ac:dyDescent="0.2">
      <c r="A27" s="1958" t="s">
        <v>149</v>
      </c>
      <c r="B27" s="1927"/>
      <c r="C27" s="1927"/>
      <c r="D27" s="1927"/>
      <c r="E27" s="1927"/>
      <c r="F27" s="1927"/>
      <c r="G27" s="1927"/>
      <c r="H27" s="1927"/>
      <c r="I27" s="1927"/>
      <c r="J27" s="1927"/>
      <c r="K27" s="1927"/>
      <c r="L27" s="1927"/>
      <c r="M27" s="1927"/>
      <c r="N27" s="1927"/>
      <c r="O27" s="29"/>
      <c r="P27" s="29"/>
      <c r="Q27" s="736">
        <f>Q127</f>
        <v>0</v>
      </c>
      <c r="R27" s="1443"/>
      <c r="S27" s="1172"/>
    </row>
    <row r="28" spans="1:19" ht="12.75" customHeight="1" x14ac:dyDescent="0.2">
      <c r="A28" s="377"/>
      <c r="B28" s="29"/>
      <c r="C28" s="29"/>
      <c r="D28" s="29"/>
      <c r="E28" s="19"/>
      <c r="F28" s="19"/>
      <c r="G28" s="29"/>
      <c r="H28" s="29"/>
      <c r="I28" s="29"/>
      <c r="J28" s="29"/>
      <c r="K28" s="29"/>
      <c r="L28" s="29"/>
      <c r="M28" s="29"/>
      <c r="N28" s="29"/>
      <c r="O28" s="29"/>
      <c r="P28" s="29"/>
      <c r="Q28" s="736"/>
      <c r="R28" s="1443"/>
      <c r="S28" s="1172"/>
    </row>
    <row r="29" spans="1:19" ht="18.75" customHeight="1" x14ac:dyDescent="0.2">
      <c r="A29" s="1958" t="s">
        <v>150</v>
      </c>
      <c r="B29" s="1927"/>
      <c r="C29" s="1927"/>
      <c r="D29" s="1927"/>
      <c r="E29" s="1927"/>
      <c r="F29" s="1927"/>
      <c r="G29" s="1927"/>
      <c r="H29" s="1927"/>
      <c r="I29" s="1927"/>
      <c r="J29" s="1927"/>
      <c r="K29" s="1927"/>
      <c r="L29" s="1927"/>
      <c r="M29" s="1927"/>
      <c r="N29" s="1927"/>
      <c r="O29" s="29"/>
      <c r="P29" s="29"/>
      <c r="Q29" s="736">
        <f>Q130</f>
        <v>0</v>
      </c>
      <c r="R29" s="1443"/>
      <c r="S29" s="1172"/>
    </row>
    <row r="30" spans="1:19" ht="12" customHeight="1" x14ac:dyDescent="0.2">
      <c r="A30" s="377"/>
      <c r="B30" s="29"/>
      <c r="C30" s="29"/>
      <c r="D30" s="29"/>
      <c r="E30" s="29"/>
      <c r="F30" s="29"/>
      <c r="G30" s="29"/>
      <c r="H30" s="29"/>
      <c r="I30" s="29"/>
      <c r="J30" s="29"/>
      <c r="K30" s="29"/>
      <c r="L30" s="29"/>
      <c r="M30" s="29"/>
      <c r="N30" s="29"/>
      <c r="O30" s="29"/>
      <c r="P30" s="29"/>
      <c r="Q30" s="736"/>
      <c r="R30" s="1443"/>
      <c r="S30" s="1172"/>
    </row>
    <row r="31" spans="1:19" ht="22.5" customHeight="1" x14ac:dyDescent="0.2">
      <c r="A31" s="1947" t="s">
        <v>119</v>
      </c>
      <c r="B31" s="1927"/>
      <c r="C31" s="1927"/>
      <c r="D31" s="1927"/>
      <c r="E31" s="1927"/>
      <c r="F31" s="1927"/>
      <c r="G31" s="1927"/>
      <c r="H31" s="1927"/>
      <c r="I31" s="1927"/>
      <c r="J31" s="1927"/>
      <c r="K31" s="1927"/>
      <c r="L31" s="1927"/>
      <c r="M31" s="1927"/>
      <c r="N31" s="1927"/>
      <c r="O31" s="29"/>
      <c r="P31" s="29"/>
      <c r="Q31" s="736">
        <f>Q133</f>
        <v>0</v>
      </c>
      <c r="R31" s="1443"/>
      <c r="S31" s="1172"/>
    </row>
    <row r="32" spans="1:19" ht="8.25" customHeight="1" x14ac:dyDescent="0.2">
      <c r="A32" s="6"/>
      <c r="B32" s="9"/>
      <c r="C32" s="9"/>
      <c r="D32" s="9"/>
      <c r="E32" s="378"/>
      <c r="F32" s="378"/>
      <c r="G32" s="29"/>
      <c r="H32" s="29"/>
      <c r="I32" s="29"/>
      <c r="J32" s="29"/>
      <c r="K32" s="29"/>
      <c r="L32" s="29"/>
      <c r="M32" s="29"/>
      <c r="N32" s="29"/>
      <c r="O32" s="29"/>
      <c r="P32" s="29"/>
      <c r="Q32" s="736"/>
      <c r="R32" s="1443"/>
      <c r="S32" s="1172"/>
    </row>
    <row r="33" spans="1:19" ht="16.5" customHeight="1" x14ac:dyDescent="0.2">
      <c r="A33" s="1947" t="s">
        <v>120</v>
      </c>
      <c r="B33" s="1927"/>
      <c r="C33" s="1927"/>
      <c r="D33" s="1927"/>
      <c r="E33" s="1927"/>
      <c r="F33" s="1927"/>
      <c r="G33" s="1927"/>
      <c r="H33" s="1927"/>
      <c r="I33" s="1927"/>
      <c r="J33" s="1927"/>
      <c r="K33" s="1927"/>
      <c r="L33" s="1927"/>
      <c r="M33" s="1927"/>
      <c r="N33" s="1927"/>
      <c r="O33" s="29"/>
      <c r="P33" s="29"/>
      <c r="Q33" s="736">
        <f>Q136</f>
        <v>0</v>
      </c>
      <c r="R33" s="1443"/>
      <c r="S33" s="1172"/>
    </row>
    <row r="34" spans="1:19" ht="9" customHeight="1" x14ac:dyDescent="0.2">
      <c r="A34" s="6"/>
      <c r="B34" s="9"/>
      <c r="C34" s="9"/>
      <c r="D34" s="9"/>
      <c r="E34" s="378"/>
      <c r="F34" s="378"/>
      <c r="G34" s="29"/>
      <c r="H34" s="29"/>
      <c r="I34" s="29"/>
      <c r="J34" s="29"/>
      <c r="K34" s="29"/>
      <c r="L34" s="29"/>
      <c r="M34" s="29"/>
      <c r="N34" s="29"/>
      <c r="O34" s="29"/>
      <c r="P34" s="29"/>
      <c r="Q34" s="736"/>
      <c r="R34" s="1443"/>
      <c r="S34" s="1172"/>
    </row>
    <row r="35" spans="1:19" ht="18.75" customHeight="1" x14ac:dyDescent="0.2">
      <c r="A35" s="1947" t="s">
        <v>106</v>
      </c>
      <c r="B35" s="1927"/>
      <c r="C35" s="1927"/>
      <c r="D35" s="1927"/>
      <c r="E35" s="1927"/>
      <c r="F35" s="1927"/>
      <c r="G35" s="1927"/>
      <c r="H35" s="1927"/>
      <c r="I35" s="1927"/>
      <c r="J35" s="1927"/>
      <c r="K35" s="1927"/>
      <c r="L35" s="1927"/>
      <c r="M35" s="1927"/>
      <c r="N35" s="1927"/>
      <c r="O35" s="29"/>
      <c r="P35" s="29"/>
      <c r="Q35" s="736">
        <f>Q139</f>
        <v>0</v>
      </c>
      <c r="R35" s="1443"/>
      <c r="S35" s="1172"/>
    </row>
    <row r="36" spans="1:19" ht="8.25" customHeight="1" x14ac:dyDescent="0.2">
      <c r="A36" s="427"/>
      <c r="B36" s="376"/>
      <c r="C36" s="376"/>
      <c r="D36" s="376"/>
      <c r="E36" s="29"/>
      <c r="F36" s="29"/>
      <c r="G36" s="29"/>
      <c r="H36" s="29"/>
      <c r="I36" s="29"/>
      <c r="J36" s="29"/>
      <c r="K36" s="29"/>
      <c r="L36" s="29"/>
      <c r="M36" s="29"/>
      <c r="N36" s="29"/>
      <c r="O36" s="29"/>
      <c r="P36" s="29"/>
      <c r="Q36" s="736"/>
      <c r="R36" s="1443"/>
      <c r="S36" s="1172"/>
    </row>
    <row r="37" spans="1:19" ht="15.95" customHeight="1" thickBot="1" x14ac:dyDescent="0.25">
      <c r="A37" s="1947" t="s">
        <v>121</v>
      </c>
      <c r="B37" s="1927"/>
      <c r="C37" s="1927"/>
      <c r="D37" s="1927"/>
      <c r="E37" s="1927"/>
      <c r="F37" s="1927"/>
      <c r="G37" s="1927"/>
      <c r="H37" s="1927"/>
      <c r="I37" s="1927"/>
      <c r="J37" s="1927"/>
      <c r="K37" s="1927"/>
      <c r="L37" s="1927"/>
      <c r="M37" s="1927"/>
      <c r="N37" s="1927"/>
      <c r="O37" s="29"/>
      <c r="P37" s="29"/>
      <c r="Q37" s="737">
        <f>Q142</f>
        <v>0</v>
      </c>
      <c r="R37" s="1443"/>
      <c r="S37" s="1172"/>
    </row>
    <row r="38" spans="1:19" ht="24" customHeight="1" thickBot="1" x14ac:dyDescent="0.25">
      <c r="A38" s="438"/>
      <c r="B38" s="439"/>
      <c r="C38" s="439"/>
      <c r="D38" s="439"/>
      <c r="E38" s="32"/>
      <c r="F38" s="32"/>
      <c r="G38" s="32"/>
      <c r="H38" s="32"/>
      <c r="I38" s="32"/>
      <c r="J38" s="32"/>
      <c r="K38" s="32"/>
      <c r="L38" s="32"/>
      <c r="M38" s="32"/>
      <c r="N38" s="32"/>
      <c r="O38" s="435" t="s">
        <v>139</v>
      </c>
      <c r="P38" s="32"/>
      <c r="Q38" s="738">
        <f>Q144</f>
        <v>0</v>
      </c>
      <c r="R38" s="1443"/>
      <c r="S38" s="1442">
        <f>Q38</f>
        <v>0</v>
      </c>
    </row>
    <row r="39" spans="1:19" ht="26.25" customHeight="1" thickTop="1" x14ac:dyDescent="0.2">
      <c r="A39" s="1995" t="s">
        <v>109</v>
      </c>
      <c r="B39" s="1927"/>
      <c r="C39" s="1927"/>
      <c r="D39" s="1927"/>
      <c r="E39" s="1927"/>
      <c r="F39" s="1927"/>
      <c r="G39" s="1927"/>
      <c r="H39" s="1927"/>
      <c r="I39" s="1927"/>
      <c r="J39" s="1927"/>
      <c r="K39" s="1927"/>
      <c r="L39" s="1927"/>
      <c r="M39" s="1927"/>
      <c r="N39" s="29"/>
      <c r="O39" s="29"/>
      <c r="P39" s="29"/>
      <c r="Q39" s="736"/>
      <c r="R39" s="1443"/>
      <c r="S39" s="1172"/>
    </row>
    <row r="40" spans="1:19" ht="15.95" customHeight="1" x14ac:dyDescent="0.2">
      <c r="A40" s="44" t="s">
        <v>122</v>
      </c>
      <c r="B40" s="19"/>
      <c r="C40" s="49"/>
      <c r="D40" s="19"/>
      <c r="E40" s="19"/>
      <c r="F40" s="19"/>
      <c r="G40" s="19"/>
      <c r="H40" s="19"/>
      <c r="I40" s="29"/>
      <c r="J40" s="36"/>
      <c r="K40" s="29"/>
      <c r="L40" s="29"/>
      <c r="M40" s="29"/>
      <c r="N40" s="29"/>
      <c r="O40" s="29"/>
      <c r="P40" s="29"/>
      <c r="Q40" s="736">
        <f>Q147</f>
        <v>0</v>
      </c>
      <c r="R40" s="1443"/>
      <c r="S40" s="1172"/>
    </row>
    <row r="41" spans="1:19" ht="8.25" customHeight="1" thickBot="1" x14ac:dyDescent="0.25">
      <c r="A41" s="123"/>
      <c r="B41" s="12"/>
      <c r="C41" s="85"/>
      <c r="D41" s="85"/>
      <c r="E41" s="85"/>
      <c r="F41" s="85"/>
      <c r="G41" s="85"/>
      <c r="H41" s="85"/>
      <c r="I41" s="133"/>
      <c r="J41" s="84"/>
      <c r="K41" s="453"/>
      <c r="L41" s="453"/>
      <c r="M41" s="453"/>
      <c r="N41" s="453"/>
      <c r="O41" s="453"/>
      <c r="P41" s="453"/>
      <c r="Q41" s="737"/>
      <c r="R41" s="1443"/>
      <c r="S41" s="1172"/>
    </row>
    <row r="42" spans="1:19" ht="9" customHeight="1" x14ac:dyDescent="0.2">
      <c r="A42" s="63"/>
      <c r="B42" s="64"/>
      <c r="C42" s="19"/>
      <c r="D42" s="19"/>
      <c r="E42" s="19"/>
      <c r="F42" s="19"/>
      <c r="G42" s="19"/>
      <c r="H42" s="19"/>
      <c r="I42" s="65"/>
      <c r="J42" s="50"/>
      <c r="K42" s="29"/>
      <c r="L42" s="29"/>
      <c r="M42" s="29"/>
      <c r="N42" s="29"/>
      <c r="O42" s="29"/>
      <c r="P42" s="29"/>
      <c r="Q42" s="736"/>
      <c r="R42" s="1443"/>
      <c r="S42" s="1172"/>
    </row>
    <row r="43" spans="1:19" ht="15.95" customHeight="1" x14ac:dyDescent="0.2">
      <c r="A43" s="16" t="s">
        <v>173</v>
      </c>
      <c r="B43" s="64"/>
      <c r="C43" s="19"/>
      <c r="D43" s="19"/>
      <c r="E43" s="19"/>
      <c r="F43" s="19"/>
      <c r="G43" s="19"/>
      <c r="H43" s="19"/>
      <c r="I43" s="19"/>
      <c r="J43" s="19"/>
      <c r="K43" s="29"/>
      <c r="L43" s="29"/>
      <c r="M43" s="29"/>
      <c r="N43" s="29"/>
      <c r="O43" s="29"/>
      <c r="P43" s="29"/>
      <c r="Q43" s="736">
        <f>Q151</f>
        <v>0</v>
      </c>
      <c r="R43" s="1443"/>
      <c r="S43" s="1172"/>
    </row>
    <row r="44" spans="1:19" ht="8.25" customHeight="1" thickBot="1" x14ac:dyDescent="0.25">
      <c r="A44" s="11"/>
      <c r="B44" s="12"/>
      <c r="C44" s="133"/>
      <c r="D44" s="134"/>
      <c r="E44" s="134"/>
      <c r="F44" s="134"/>
      <c r="G44" s="134"/>
      <c r="H44" s="134"/>
      <c r="I44" s="164"/>
      <c r="J44" s="165"/>
      <c r="K44" s="453"/>
      <c r="L44" s="453"/>
      <c r="M44" s="453"/>
      <c r="N44" s="453"/>
      <c r="O44" s="453"/>
      <c r="P44" s="453"/>
      <c r="Q44" s="737"/>
      <c r="R44" s="1443"/>
      <c r="S44" s="1172"/>
    </row>
    <row r="45" spans="1:19" ht="8.25" customHeight="1" x14ac:dyDescent="0.2">
      <c r="A45" s="17"/>
      <c r="B45" s="64"/>
      <c r="C45" s="65"/>
      <c r="D45" s="36"/>
      <c r="E45" s="36"/>
      <c r="F45" s="36"/>
      <c r="G45" s="36"/>
      <c r="H45" s="36"/>
      <c r="I45" s="37"/>
      <c r="J45" s="38"/>
      <c r="K45" s="29"/>
      <c r="L45" s="29"/>
      <c r="M45" s="29"/>
      <c r="N45" s="29"/>
      <c r="O45" s="29"/>
      <c r="P45" s="29"/>
      <c r="Q45" s="736"/>
      <c r="R45" s="1443"/>
      <c r="S45" s="1172"/>
    </row>
    <row r="46" spans="1:19" ht="16.5" customHeight="1" x14ac:dyDescent="0.2">
      <c r="A46" s="448" t="s">
        <v>286</v>
      </c>
      <c r="B46" s="64"/>
      <c r="C46" s="65"/>
      <c r="D46" s="36"/>
      <c r="E46" s="36"/>
      <c r="F46" s="36"/>
      <c r="G46" s="36"/>
      <c r="H46" s="36"/>
      <c r="I46" s="37"/>
      <c r="J46" s="38"/>
      <c r="K46" s="29"/>
      <c r="L46" s="29"/>
      <c r="M46" s="29"/>
      <c r="N46" s="29"/>
      <c r="O46" s="29"/>
      <c r="P46" s="29"/>
      <c r="Q46" s="736">
        <f>Q154</f>
        <v>0</v>
      </c>
      <c r="R46" s="1443"/>
      <c r="S46" s="1172"/>
    </row>
    <row r="47" spans="1:19" ht="9" customHeight="1" thickBot="1" x14ac:dyDescent="0.25">
      <c r="A47" s="1998"/>
      <c r="B47" s="1999"/>
      <c r="C47" s="1999"/>
      <c r="D47" s="1999"/>
      <c r="E47" s="1999"/>
      <c r="F47" s="1999"/>
      <c r="G47" s="1999"/>
      <c r="H47" s="1999"/>
      <c r="I47" s="1999"/>
      <c r="J47" s="1999"/>
      <c r="K47" s="1999"/>
      <c r="L47" s="1999"/>
      <c r="M47" s="1999"/>
      <c r="N47" s="1999"/>
      <c r="O47" s="1999"/>
      <c r="P47" s="1999"/>
      <c r="Q47" s="739"/>
      <c r="R47" s="1443"/>
      <c r="S47" s="1172"/>
    </row>
    <row r="48" spans="1:19" ht="15.95" customHeight="1" thickTop="1" thickBot="1" x14ac:dyDescent="0.25">
      <c r="A48" s="416"/>
      <c r="B48" s="417"/>
      <c r="C48" s="418"/>
      <c r="D48" s="417"/>
      <c r="E48" s="417"/>
      <c r="F48" s="417"/>
      <c r="G48" s="419"/>
      <c r="H48" s="417"/>
      <c r="I48" s="417"/>
      <c r="J48" s="417"/>
      <c r="K48" s="420"/>
      <c r="L48" s="420"/>
      <c r="M48" s="418"/>
      <c r="N48" s="418"/>
      <c r="O48" s="418"/>
      <c r="P48" s="415" t="s">
        <v>273</v>
      </c>
      <c r="Q48" s="738">
        <f>Q156</f>
        <v>0</v>
      </c>
      <c r="R48" s="1443"/>
      <c r="S48" s="1442"/>
    </row>
    <row r="49" spans="1:19" ht="7.5" customHeight="1" thickTop="1" x14ac:dyDescent="0.2">
      <c r="A49" s="377"/>
      <c r="B49" s="29"/>
      <c r="C49" s="29"/>
      <c r="D49" s="29"/>
      <c r="E49" s="29"/>
      <c r="F49" s="29"/>
      <c r="G49" s="29"/>
      <c r="H49" s="29"/>
      <c r="I49" s="29"/>
      <c r="J49" s="29"/>
      <c r="K49" s="29"/>
      <c r="L49" s="29"/>
      <c r="M49" s="29"/>
      <c r="N49" s="29"/>
      <c r="O49" s="29"/>
      <c r="P49" s="29"/>
      <c r="Q49" s="736"/>
      <c r="R49" s="1443"/>
      <c r="S49" s="1172"/>
    </row>
    <row r="50" spans="1:19" ht="15.95" customHeight="1" x14ac:dyDescent="0.2">
      <c r="A50" s="82" t="s">
        <v>272</v>
      </c>
      <c r="B50" s="64"/>
      <c r="C50" s="64"/>
      <c r="D50" s="29"/>
      <c r="E50" s="29"/>
      <c r="F50" s="29"/>
      <c r="G50" s="29"/>
      <c r="H50" s="29"/>
      <c r="I50" s="29"/>
      <c r="J50" s="29"/>
      <c r="K50" s="29"/>
      <c r="L50" s="29"/>
      <c r="M50" s="29"/>
      <c r="N50" s="29"/>
      <c r="O50" s="29"/>
      <c r="P50" s="29"/>
      <c r="Q50" s="736"/>
      <c r="R50" s="1443"/>
      <c r="S50" s="1172"/>
    </row>
    <row r="51" spans="1:19" ht="9" customHeight="1" x14ac:dyDescent="0.2">
      <c r="A51" s="82"/>
      <c r="B51" s="64"/>
      <c r="C51" s="64"/>
      <c r="D51" s="29"/>
      <c r="E51" s="29"/>
      <c r="F51" s="29"/>
      <c r="G51" s="29"/>
      <c r="H51" s="29"/>
      <c r="I51" s="29"/>
      <c r="J51" s="29"/>
      <c r="K51" s="29"/>
      <c r="L51" s="29"/>
      <c r="M51" s="29"/>
      <c r="N51" s="29"/>
      <c r="O51" s="29"/>
      <c r="P51" s="29"/>
      <c r="Q51" s="736"/>
      <c r="R51" s="1443"/>
      <c r="S51" s="1172"/>
    </row>
    <row r="52" spans="1:19" ht="15.95" customHeight="1" x14ac:dyDescent="0.2">
      <c r="A52" s="1946" t="s">
        <v>148</v>
      </c>
      <c r="B52" s="1927"/>
      <c r="C52" s="1927"/>
      <c r="D52" s="1927"/>
      <c r="E52" s="1927"/>
      <c r="F52" s="1927"/>
      <c r="G52" s="1927"/>
      <c r="H52" s="1927"/>
      <c r="I52" s="1927"/>
      <c r="J52" s="1927"/>
      <c r="K52" s="1927"/>
      <c r="L52" s="1927"/>
      <c r="M52" s="1927"/>
      <c r="N52" s="1927"/>
      <c r="O52" s="29"/>
      <c r="P52" s="29"/>
      <c r="Q52" s="736">
        <f>Q158</f>
        <v>0</v>
      </c>
      <c r="R52" s="1443"/>
      <c r="S52" s="1172"/>
    </row>
    <row r="53" spans="1:19" ht="9" customHeight="1" x14ac:dyDescent="0.2">
      <c r="A53" s="377"/>
      <c r="B53" s="29"/>
      <c r="C53" s="29"/>
      <c r="D53" s="29"/>
      <c r="E53" s="29"/>
      <c r="F53" s="29"/>
      <c r="G53" s="29"/>
      <c r="H53" s="29"/>
      <c r="I53" s="29"/>
      <c r="J53" s="29"/>
      <c r="K53" s="29"/>
      <c r="L53" s="29"/>
      <c r="M53" s="29"/>
      <c r="N53" s="29"/>
      <c r="O53" s="29"/>
      <c r="P53" s="29"/>
      <c r="Q53" s="736"/>
      <c r="R53" s="1443"/>
      <c r="S53" s="1172"/>
    </row>
    <row r="54" spans="1:19" ht="15.95" customHeight="1" thickBot="1" x14ac:dyDescent="0.25">
      <c r="A54" s="1958" t="s">
        <v>103</v>
      </c>
      <c r="B54" s="1927"/>
      <c r="C54" s="1927"/>
      <c r="D54" s="1927"/>
      <c r="E54" s="1927"/>
      <c r="F54" s="1927"/>
      <c r="G54" s="1927"/>
      <c r="H54" s="1927"/>
      <c r="I54" s="1927"/>
      <c r="J54" s="1927"/>
      <c r="K54" s="1927"/>
      <c r="L54" s="1927"/>
      <c r="M54" s="1927"/>
      <c r="N54" s="1927"/>
      <c r="O54" s="29"/>
      <c r="P54" s="29"/>
      <c r="Q54" s="737">
        <f>Q161</f>
        <v>0</v>
      </c>
      <c r="R54" s="1443"/>
      <c r="S54" s="1172"/>
    </row>
    <row r="55" spans="1:19" ht="15.95" customHeight="1" thickBot="1" x14ac:dyDescent="0.25">
      <c r="A55" s="381"/>
      <c r="B55" s="382"/>
      <c r="C55" s="382"/>
      <c r="D55" s="453"/>
      <c r="E55" s="453"/>
      <c r="F55" s="453"/>
      <c r="G55" s="453"/>
      <c r="H55" s="453"/>
      <c r="I55" s="453"/>
      <c r="J55" s="453"/>
      <c r="K55" s="453"/>
      <c r="L55" s="453"/>
      <c r="M55" s="453"/>
      <c r="N55" s="453"/>
      <c r="O55" s="405" t="s">
        <v>139</v>
      </c>
      <c r="P55" s="453"/>
      <c r="Q55" s="740">
        <f>Q163</f>
        <v>0</v>
      </c>
      <c r="R55" s="1443"/>
      <c r="S55" s="1442"/>
    </row>
    <row r="56" spans="1:19" ht="15.95" customHeight="1" x14ac:dyDescent="0.2">
      <c r="A56" s="431" t="s">
        <v>109</v>
      </c>
      <c r="B56" s="432"/>
      <c r="C56" s="432"/>
      <c r="D56" s="29"/>
      <c r="E56" s="29"/>
      <c r="F56" s="29"/>
      <c r="G56" s="29"/>
      <c r="H56" s="29"/>
      <c r="I56" s="29"/>
      <c r="J56" s="29"/>
      <c r="K56" s="29"/>
      <c r="L56" s="29"/>
      <c r="M56" s="29"/>
      <c r="N56" s="29"/>
      <c r="O56" s="29"/>
      <c r="P56" s="29"/>
      <c r="Q56" s="736"/>
      <c r="R56" s="1443"/>
      <c r="S56" s="1172"/>
    </row>
    <row r="57" spans="1:19" ht="9" customHeight="1" x14ac:dyDescent="0.2">
      <c r="A57" s="7"/>
      <c r="B57" s="379"/>
      <c r="C57" s="379"/>
      <c r="D57" s="29"/>
      <c r="E57" s="29"/>
      <c r="F57" s="29"/>
      <c r="G57" s="29"/>
      <c r="H57" s="29"/>
      <c r="I57" s="29"/>
      <c r="J57" s="29"/>
      <c r="K57" s="29"/>
      <c r="L57" s="29"/>
      <c r="M57" s="29"/>
      <c r="N57" s="29"/>
      <c r="O57" s="29"/>
      <c r="P57" s="29"/>
      <c r="Q57" s="736"/>
      <c r="R57" s="1443"/>
      <c r="S57" s="1172"/>
    </row>
    <row r="58" spans="1:19" ht="15.95" customHeight="1" x14ac:dyDescent="0.2">
      <c r="A58" s="44" t="s">
        <v>122</v>
      </c>
      <c r="B58" s="19"/>
      <c r="C58" s="49"/>
      <c r="D58" s="29"/>
      <c r="E58" s="29"/>
      <c r="F58" s="29"/>
      <c r="G58" s="29"/>
      <c r="H58" s="29"/>
      <c r="I58" s="29"/>
      <c r="J58" s="29"/>
      <c r="K58" s="29"/>
      <c r="L58" s="29"/>
      <c r="M58" s="29"/>
      <c r="N58" s="29"/>
      <c r="O58" s="29"/>
      <c r="P58" s="29"/>
      <c r="Q58" s="736">
        <f>Q166</f>
        <v>0</v>
      </c>
      <c r="R58" s="1443"/>
      <c r="S58" s="1172"/>
    </row>
    <row r="59" spans="1:19" ht="9" customHeight="1" thickBot="1" x14ac:dyDescent="0.25">
      <c r="A59" s="123"/>
      <c r="B59" s="12"/>
      <c r="C59" s="85"/>
      <c r="D59" s="453"/>
      <c r="E59" s="453"/>
      <c r="F59" s="453"/>
      <c r="G59" s="453"/>
      <c r="H59" s="453"/>
      <c r="I59" s="453"/>
      <c r="J59" s="453"/>
      <c r="K59" s="453"/>
      <c r="L59" s="453"/>
      <c r="M59" s="453"/>
      <c r="N59" s="453"/>
      <c r="O59" s="453"/>
      <c r="P59" s="453"/>
      <c r="Q59" s="737"/>
      <c r="R59" s="1443"/>
      <c r="S59" s="1172"/>
    </row>
    <row r="60" spans="1:19" ht="9" customHeight="1" x14ac:dyDescent="0.2">
      <c r="A60" s="63"/>
      <c r="B60" s="64"/>
      <c r="C60" s="19"/>
      <c r="D60" s="29"/>
      <c r="E60" s="29"/>
      <c r="F60" s="29"/>
      <c r="G60" s="29"/>
      <c r="H60" s="29"/>
      <c r="I60" s="29"/>
      <c r="J60" s="29"/>
      <c r="K60" s="29"/>
      <c r="L60" s="29"/>
      <c r="M60" s="29"/>
      <c r="N60" s="29"/>
      <c r="O60" s="29"/>
      <c r="P60" s="29"/>
      <c r="Q60" s="736"/>
      <c r="R60" s="1443"/>
      <c r="S60" s="1172"/>
    </row>
    <row r="61" spans="1:19" ht="15.95" customHeight="1" x14ac:dyDescent="0.2">
      <c r="A61" s="406" t="s">
        <v>173</v>
      </c>
      <c r="B61" s="64"/>
      <c r="C61" s="19"/>
      <c r="D61" s="29"/>
      <c r="E61" s="29"/>
      <c r="F61" s="29"/>
      <c r="G61" s="29"/>
      <c r="H61" s="29"/>
      <c r="I61" s="29"/>
      <c r="J61" s="29"/>
      <c r="K61" s="29"/>
      <c r="L61" s="29"/>
      <c r="M61" s="29"/>
      <c r="N61" s="29"/>
      <c r="O61" s="29"/>
      <c r="P61" s="29"/>
      <c r="Q61" s="736">
        <f>Q170</f>
        <v>0</v>
      </c>
      <c r="R61" s="1443"/>
      <c r="S61" s="1172"/>
    </row>
    <row r="62" spans="1:19" ht="10.5" customHeight="1" thickBot="1" x14ac:dyDescent="0.25">
      <c r="A62" s="11"/>
      <c r="B62" s="12"/>
      <c r="C62" s="85"/>
      <c r="D62" s="453"/>
      <c r="E62" s="453"/>
      <c r="F62" s="453"/>
      <c r="G62" s="453"/>
      <c r="H62" s="453"/>
      <c r="I62" s="453"/>
      <c r="J62" s="453"/>
      <c r="K62" s="453"/>
      <c r="L62" s="453"/>
      <c r="M62" s="453"/>
      <c r="N62" s="453"/>
      <c r="O62" s="453"/>
      <c r="P62" s="453"/>
      <c r="Q62" s="737"/>
      <c r="R62" s="1443"/>
      <c r="S62" s="1172"/>
    </row>
    <row r="63" spans="1:19" ht="10.5" customHeight="1" x14ac:dyDescent="0.2">
      <c r="A63" s="407"/>
      <c r="B63" s="282"/>
      <c r="C63" s="275"/>
      <c r="D63" s="375"/>
      <c r="E63" s="375"/>
      <c r="F63" s="375"/>
      <c r="G63" s="375"/>
      <c r="H63" s="375"/>
      <c r="I63" s="375"/>
      <c r="J63" s="375"/>
      <c r="K63" s="375"/>
      <c r="L63" s="375"/>
      <c r="M63" s="375"/>
      <c r="N63" s="375"/>
      <c r="O63" s="375"/>
      <c r="P63" s="375"/>
      <c r="Q63" s="741"/>
      <c r="R63" s="1443"/>
      <c r="S63" s="1172"/>
    </row>
    <row r="64" spans="1:19" ht="15.75" customHeight="1" x14ac:dyDescent="0.2">
      <c r="A64" s="448" t="s">
        <v>286</v>
      </c>
      <c r="B64" s="64"/>
      <c r="C64" s="19"/>
      <c r="D64" s="29"/>
      <c r="E64" s="29"/>
      <c r="F64" s="29"/>
      <c r="G64" s="29"/>
      <c r="H64" s="29"/>
      <c r="I64" s="29"/>
      <c r="J64" s="29"/>
      <c r="K64" s="29"/>
      <c r="L64" s="29"/>
      <c r="M64" s="29"/>
      <c r="N64" s="29"/>
      <c r="O64" s="29"/>
      <c r="P64" s="29"/>
      <c r="Q64" s="736">
        <f>Q173</f>
        <v>0</v>
      </c>
      <c r="R64" s="1443"/>
      <c r="S64" s="1172"/>
    </row>
    <row r="65" spans="1:19" ht="15.95" customHeight="1" thickBot="1" x14ac:dyDescent="0.25">
      <c r="A65" s="452"/>
      <c r="B65" s="453"/>
      <c r="C65" s="436"/>
      <c r="D65" s="453"/>
      <c r="E65" s="453"/>
      <c r="F65" s="453"/>
      <c r="G65" s="453"/>
      <c r="H65" s="453"/>
      <c r="I65" s="453"/>
      <c r="J65" s="453"/>
      <c r="K65" s="453"/>
      <c r="L65" s="453"/>
      <c r="M65" s="453"/>
      <c r="N65" s="453"/>
      <c r="O65" s="454"/>
      <c r="P65" s="453"/>
      <c r="Q65" s="742"/>
      <c r="R65" s="1443"/>
      <c r="S65" s="1444"/>
    </row>
    <row r="66" spans="1:19" ht="15.95" customHeight="1" thickBot="1" x14ac:dyDescent="0.25">
      <c r="A66" s="421"/>
      <c r="B66" s="422"/>
      <c r="C66" s="32"/>
      <c r="D66" s="383"/>
      <c r="E66" s="383"/>
      <c r="F66" s="383"/>
      <c r="G66" s="383"/>
      <c r="H66" s="383"/>
      <c r="I66" s="383"/>
      <c r="J66" s="383"/>
      <c r="K66" s="383"/>
      <c r="L66" s="383"/>
      <c r="M66" s="383"/>
      <c r="N66" s="383"/>
      <c r="O66" s="426" t="s">
        <v>274</v>
      </c>
      <c r="P66" s="383"/>
      <c r="Q66" s="743">
        <f>Q175</f>
        <v>0</v>
      </c>
      <c r="R66" s="1443"/>
      <c r="S66" s="1442"/>
    </row>
    <row r="67" spans="1:19" ht="9.75" customHeight="1" thickTop="1" x14ac:dyDescent="0.2">
      <c r="A67" s="407"/>
      <c r="B67" s="282"/>
      <c r="C67" s="275"/>
      <c r="D67" s="29"/>
      <c r="E67" s="29"/>
      <c r="F67" s="29"/>
      <c r="G67" s="29"/>
      <c r="H67" s="29"/>
      <c r="I67" s="29"/>
      <c r="J67" s="29"/>
      <c r="K67" s="29"/>
      <c r="L67" s="29"/>
      <c r="M67" s="29"/>
      <c r="N67" s="29"/>
      <c r="O67" s="29"/>
      <c r="P67" s="29"/>
      <c r="Q67" s="736"/>
      <c r="R67" s="1443"/>
      <c r="S67" s="1172"/>
    </row>
    <row r="68" spans="1:19" ht="15.95" customHeight="1" x14ac:dyDescent="0.2">
      <c r="A68" s="409" t="s">
        <v>270</v>
      </c>
      <c r="B68" s="64"/>
      <c r="C68" s="19"/>
      <c r="D68" s="29"/>
      <c r="E68" s="29"/>
      <c r="F68" s="29"/>
      <c r="G68" s="29"/>
      <c r="H68" s="29"/>
      <c r="I68" s="29"/>
      <c r="J68" s="29"/>
      <c r="K68" s="29"/>
      <c r="L68" s="29"/>
      <c r="M68" s="29"/>
      <c r="N68" s="29"/>
      <c r="O68" s="29"/>
      <c r="P68" s="29" t="s">
        <v>605</v>
      </c>
      <c r="Q68" s="736">
        <f>Q177</f>
        <v>0</v>
      </c>
      <c r="R68" s="1443"/>
      <c r="S68" s="1442"/>
    </row>
    <row r="69" spans="1:19" ht="9" customHeight="1" thickBot="1" x14ac:dyDescent="0.25">
      <c r="A69" s="11"/>
      <c r="B69" s="12"/>
      <c r="C69" s="85"/>
      <c r="D69" s="453"/>
      <c r="E69" s="453"/>
      <c r="F69" s="453"/>
      <c r="G69" s="453"/>
      <c r="H69" s="453"/>
      <c r="I69" s="453"/>
      <c r="J69" s="453"/>
      <c r="K69" s="453"/>
      <c r="L69" s="453"/>
      <c r="M69" s="453"/>
      <c r="N69" s="453"/>
      <c r="O69" s="453"/>
      <c r="P69" s="453"/>
      <c r="Q69" s="737"/>
      <c r="R69" s="1443"/>
      <c r="S69" s="1172"/>
    </row>
    <row r="70" spans="1:19" ht="20.25" customHeight="1" thickBot="1" x14ac:dyDescent="0.25">
      <c r="A70" s="283"/>
      <c r="B70" s="14"/>
      <c r="C70" s="14"/>
      <c r="D70" s="29"/>
      <c r="E70" s="29"/>
      <c r="F70" s="29"/>
      <c r="G70" s="29"/>
      <c r="H70" s="29"/>
      <c r="I70" s="29"/>
      <c r="J70" s="29"/>
      <c r="K70" s="29"/>
      <c r="L70" s="29"/>
      <c r="M70" s="29"/>
      <c r="N70" s="29"/>
      <c r="O70" s="29"/>
      <c r="P70" s="426" t="s">
        <v>282</v>
      </c>
      <c r="Q70" s="744">
        <f>Q179</f>
        <v>0</v>
      </c>
      <c r="R70" s="1443"/>
      <c r="S70" s="1442"/>
    </row>
    <row r="71" spans="1:19" ht="20.25" customHeight="1" thickTop="1" thickBot="1" x14ac:dyDescent="0.25">
      <c r="A71" s="400"/>
      <c r="B71" s="334"/>
      <c r="C71" s="334"/>
      <c r="D71" s="339"/>
      <c r="E71" s="410"/>
      <c r="F71" s="410"/>
      <c r="G71" s="337"/>
      <c r="H71" s="338"/>
      <c r="I71" s="410"/>
      <c r="J71" s="338"/>
      <c r="K71" s="411"/>
      <c r="L71" s="338"/>
      <c r="M71" s="338"/>
      <c r="N71" s="398" t="s">
        <v>197</v>
      </c>
      <c r="O71" s="565">
        <f>'Input Data'!$D$27/100</f>
        <v>1</v>
      </c>
      <c r="P71" s="566" t="s">
        <v>196</v>
      </c>
      <c r="Q71" s="745">
        <f>O71*Q179</f>
        <v>0</v>
      </c>
      <c r="R71" s="1578"/>
      <c r="S71" s="1172"/>
    </row>
    <row r="72" spans="1:19" ht="25.5" customHeight="1" thickTop="1" x14ac:dyDescent="0.2">
      <c r="A72" s="82" t="s">
        <v>152</v>
      </c>
      <c r="B72" s="64"/>
      <c r="C72" s="64"/>
      <c r="D72" s="64"/>
      <c r="E72" s="64"/>
      <c r="F72" s="64"/>
      <c r="G72" s="64"/>
      <c r="H72" s="64"/>
      <c r="I72" s="64"/>
      <c r="J72" s="64"/>
      <c r="K72" s="155"/>
      <c r="L72" s="88"/>
      <c r="M72" s="64"/>
      <c r="N72" s="94"/>
      <c r="O72" s="64"/>
      <c r="P72" s="94"/>
      <c r="Q72" s="746"/>
      <c r="R72" s="1443"/>
      <c r="S72" s="1172"/>
    </row>
    <row r="73" spans="1:19" ht="15.6" customHeight="1" x14ac:dyDescent="0.2">
      <c r="A73" s="16" t="s">
        <v>147</v>
      </c>
      <c r="B73" s="64"/>
      <c r="C73" s="64"/>
      <c r="D73" s="64"/>
      <c r="E73" s="64"/>
      <c r="F73" s="64"/>
      <c r="G73" s="64"/>
      <c r="H73" s="64"/>
      <c r="I73" s="64"/>
      <c r="J73" s="94" t="s">
        <v>101</v>
      </c>
      <c r="K73" s="94"/>
      <c r="L73" s="88"/>
      <c r="M73" s="89" t="s">
        <v>5</v>
      </c>
      <c r="N73" s="64"/>
      <c r="O73" s="88"/>
      <c r="P73" s="90" t="s">
        <v>95</v>
      </c>
      <c r="Q73" s="746">
        <f>IF(Q119&gt;0,0,'Time Based'!I38)</f>
        <v>0</v>
      </c>
      <c r="R73" s="1443"/>
      <c r="S73" s="1172"/>
    </row>
    <row r="74" spans="1:19" ht="15.6" customHeight="1" x14ac:dyDescent="0.2">
      <c r="A74" s="16" t="s">
        <v>100</v>
      </c>
      <c r="B74" s="64"/>
      <c r="C74" s="29"/>
      <c r="D74" s="29"/>
      <c r="E74" s="36">
        <f>IF('Input Data'!$D$34="Y",0.7,1)</f>
        <v>1</v>
      </c>
      <c r="F74" s="36" t="s">
        <v>23</v>
      </c>
      <c r="G74" s="66">
        <f>IF('Input Data'!$E$38="Y",0.06,0)</f>
        <v>0</v>
      </c>
      <c r="H74" s="36" t="s">
        <v>1</v>
      </c>
      <c r="I74" s="49">
        <f>IF('Input Data'!$F$32=1,0.05,IF('Input Data'!$F$32=2,Scales!$L$5,IF('Input Data'!$F$32=3,Scales!$L$6,IF('Input Data'!$F$32=4,Scales!$L$7,IF('Input Data'!$F$32=5,0.95,1)))))</f>
        <v>0.55000000000000004</v>
      </c>
      <c r="J74" s="38" t="s">
        <v>1</v>
      </c>
      <c r="K74" s="91">
        <f>IF('Input Data'!$E$38="Y",$Q$119,0)</f>
        <v>0</v>
      </c>
      <c r="L74" s="92" t="s">
        <v>95</v>
      </c>
      <c r="M74" s="93">
        <f>IF('Input Data'!$E$38="Y",(E74*G74*I74*K74),0)</f>
        <v>0</v>
      </c>
      <c r="N74" s="64"/>
      <c r="O74" s="143" t="s">
        <v>99</v>
      </c>
      <c r="P74" s="90" t="s">
        <v>95</v>
      </c>
      <c r="Q74" s="746">
        <f>IF('Input Data'!E38="Y",IF(M74 &gt;'Time Based'!$I$23,'Time Based'!$I$23,$M$74),0)</f>
        <v>0</v>
      </c>
      <c r="R74" s="1443"/>
      <c r="S74" s="1172"/>
    </row>
    <row r="75" spans="1:19" x14ac:dyDescent="0.2">
      <c r="A75" s="17" t="s">
        <v>187</v>
      </c>
      <c r="B75" s="64"/>
      <c r="C75" s="64"/>
      <c r="D75" s="64"/>
      <c r="E75" s="64"/>
      <c r="F75" s="64"/>
      <c r="G75" s="64"/>
      <c r="H75" s="29"/>
      <c r="I75" s="29"/>
      <c r="J75" s="94" t="s">
        <v>188</v>
      </c>
      <c r="K75" s="29"/>
      <c r="L75" s="88"/>
      <c r="M75" s="89" t="s">
        <v>5</v>
      </c>
      <c r="N75" s="64"/>
      <c r="O75" s="89" t="s">
        <v>99</v>
      </c>
      <c r="P75" s="90" t="s">
        <v>95</v>
      </c>
      <c r="Q75" s="746">
        <f>'Time Based'!I69</f>
        <v>0</v>
      </c>
      <c r="R75" s="1443"/>
      <c r="S75" s="1172"/>
    </row>
    <row r="76" spans="1:19" ht="15.75" thickBot="1" x14ac:dyDescent="0.25">
      <c r="A76" s="18"/>
      <c r="B76" s="54"/>
      <c r="C76" s="54"/>
      <c r="D76" s="15"/>
      <c r="E76" s="15"/>
      <c r="F76" s="15"/>
      <c r="G76" s="15"/>
      <c r="H76" s="15"/>
      <c r="I76" s="15"/>
      <c r="J76" s="95"/>
      <c r="K76" s="96"/>
      <c r="L76" s="28"/>
      <c r="M76" s="285" t="s">
        <v>153</v>
      </c>
      <c r="N76" s="106"/>
      <c r="O76" s="106"/>
      <c r="P76" s="286"/>
      <c r="Q76" s="747">
        <f>SUM(Q73:Q75)</f>
        <v>0</v>
      </c>
      <c r="R76" s="1443"/>
      <c r="S76" s="1172"/>
    </row>
    <row r="77" spans="1:19" ht="16.5" thickTop="1" thickBot="1" x14ac:dyDescent="0.25">
      <c r="A77" s="17"/>
      <c r="B77" s="19"/>
      <c r="C77" s="19"/>
      <c r="D77" s="64"/>
      <c r="E77" s="64"/>
      <c r="F77" s="64"/>
      <c r="G77" s="64"/>
      <c r="H77" s="64"/>
      <c r="I77" s="64"/>
      <c r="J77" s="1090"/>
      <c r="K77" s="1127"/>
      <c r="L77" s="88"/>
      <c r="M77" s="1127"/>
      <c r="N77" s="64"/>
      <c r="O77" s="1142" t="s">
        <v>477</v>
      </c>
      <c r="P77" s="1143"/>
      <c r="Q77" s="758">
        <f>Q71+Q76</f>
        <v>0</v>
      </c>
      <c r="R77" s="1443"/>
      <c r="S77" s="1172"/>
    </row>
    <row r="78" spans="1:19" ht="19.5" thickTop="1" thickBot="1" x14ac:dyDescent="0.25">
      <c r="A78" s="17"/>
      <c r="B78" s="19"/>
      <c r="C78" s="19"/>
      <c r="D78" s="64"/>
      <c r="E78" s="64"/>
      <c r="F78" s="64"/>
      <c r="G78" s="64"/>
      <c r="H78" s="64"/>
      <c r="I78" s="64"/>
      <c r="J78" s="1090"/>
      <c r="K78" s="1127"/>
      <c r="L78" s="88"/>
      <c r="M78" s="1127"/>
      <c r="N78" s="64"/>
      <c r="O78" s="1144" t="s">
        <v>393</v>
      </c>
      <c r="P78" s="1145"/>
      <c r="Q78" s="928">
        <f>'Input Data'!H11*'Input Data'!F11</f>
        <v>0</v>
      </c>
      <c r="R78" s="1443"/>
      <c r="S78" s="1172"/>
    </row>
    <row r="79" spans="1:19" ht="16.5" thickTop="1" thickBot="1" x14ac:dyDescent="0.25">
      <c r="A79" s="18"/>
      <c r="B79" s="1097"/>
      <c r="C79" s="1097"/>
      <c r="D79" s="15"/>
      <c r="E79" s="15"/>
      <c r="F79" s="15"/>
      <c r="G79" s="15"/>
      <c r="H79" s="15"/>
      <c r="I79" s="15"/>
      <c r="J79" s="95"/>
      <c r="K79" s="96"/>
      <c r="L79" s="28"/>
      <c r="M79" s="96"/>
      <c r="N79" s="15"/>
      <c r="O79" s="426" t="s">
        <v>478</v>
      </c>
      <c r="P79" s="1140"/>
      <c r="Q79" s="1141">
        <f>Q77-Q78</f>
        <v>0</v>
      </c>
      <c r="R79" s="1443"/>
      <c r="S79" s="1172"/>
    </row>
    <row r="80" spans="1:19" ht="22.5" customHeight="1" thickTop="1" x14ac:dyDescent="0.2">
      <c r="A80" s="82" t="s">
        <v>155</v>
      </c>
      <c r="B80" s="64"/>
      <c r="C80" s="64"/>
      <c r="D80" s="64"/>
      <c r="E80" s="64"/>
      <c r="F80" s="64"/>
      <c r="G80" s="64"/>
      <c r="H80" s="64"/>
      <c r="I80" s="64"/>
      <c r="J80" s="64"/>
      <c r="K80" s="64"/>
      <c r="L80" s="64"/>
      <c r="M80" s="64"/>
      <c r="N80" s="64"/>
      <c r="O80" s="97"/>
      <c r="P80" s="91"/>
      <c r="Q80" s="746"/>
      <c r="R80" s="1443"/>
      <c r="S80" s="1172"/>
    </row>
    <row r="81" spans="1:19" x14ac:dyDescent="0.2">
      <c r="A81" s="17" t="s">
        <v>633</v>
      </c>
      <c r="B81" s="64"/>
      <c r="C81" s="1572" t="s">
        <v>198</v>
      </c>
      <c r="D81" s="64"/>
      <c r="E81" s="64"/>
      <c r="F81" s="64"/>
      <c r="G81" s="64"/>
      <c r="H81" s="64"/>
      <c r="I81" s="64"/>
      <c r="J81" s="64"/>
      <c r="K81" s="64"/>
      <c r="L81" s="64"/>
      <c r="M81" s="94"/>
      <c r="N81" s="64"/>
      <c r="O81" s="19"/>
      <c r="P81" s="19"/>
      <c r="Q81" s="748">
        <f>'Subsistence &amp; Travelling'!O86</f>
        <v>0</v>
      </c>
      <c r="R81" s="1443"/>
      <c r="S81" s="1172"/>
    </row>
    <row r="82" spans="1:19" x14ac:dyDescent="0.2">
      <c r="A82" s="17" t="s">
        <v>76</v>
      </c>
      <c r="B82" s="64"/>
      <c r="C82" s="64"/>
      <c r="D82" s="64"/>
      <c r="E82" s="64"/>
      <c r="F82" s="64"/>
      <c r="G82" s="64"/>
      <c r="H82" s="64"/>
      <c r="I82" s="64"/>
      <c r="J82" s="64"/>
      <c r="K82" s="64"/>
      <c r="L82" s="64"/>
      <c r="M82" s="94"/>
      <c r="N82" s="64"/>
      <c r="O82" s="19"/>
      <c r="P82" s="19"/>
      <c r="Q82" s="748">
        <f>'Typing, Duplicating, &amp; Printing'!J63</f>
        <v>0</v>
      </c>
      <c r="R82" s="1443"/>
      <c r="S82" s="1172"/>
    </row>
    <row r="83" spans="1:19" x14ac:dyDescent="0.2">
      <c r="A83" s="17" t="s">
        <v>601</v>
      </c>
      <c r="B83" s="64"/>
      <c r="C83" s="64"/>
      <c r="D83" s="64"/>
      <c r="E83" s="64"/>
      <c r="F83" s="64"/>
      <c r="G83" s="64"/>
      <c r="H83" s="64"/>
      <c r="I83" s="64"/>
      <c r="J83" s="64"/>
      <c r="K83" s="64"/>
      <c r="L83" s="64"/>
      <c r="M83" s="94"/>
      <c r="N83" s="64"/>
      <c r="O83" s="19"/>
      <c r="P83" s="19"/>
      <c r="Q83" s="748">
        <f>'Site staff &amp; Other'!I49</f>
        <v>0</v>
      </c>
      <c r="R83" s="1443"/>
      <c r="S83" s="1172"/>
    </row>
    <row r="84" spans="1:19" x14ac:dyDescent="0.2">
      <c r="A84" s="1437" t="s">
        <v>600</v>
      </c>
      <c r="B84" s="64"/>
      <c r="C84" s="64"/>
      <c r="D84" s="64"/>
      <c r="E84" s="64"/>
      <c r="F84" s="64"/>
      <c r="G84" s="64"/>
      <c r="H84" s="64"/>
      <c r="I84" s="64"/>
      <c r="J84" s="64"/>
      <c r="K84" s="64"/>
      <c r="L84" s="64"/>
      <c r="M84" s="94"/>
      <c r="N84" s="64"/>
      <c r="O84" s="19"/>
      <c r="P84" s="19"/>
      <c r="Q84" s="748">
        <f>'Site staff &amp; Other'!I64</f>
        <v>0</v>
      </c>
      <c r="R84" s="1443"/>
      <c r="S84" s="1172"/>
    </row>
    <row r="85" spans="1:19" ht="15.75" thickBot="1" x14ac:dyDescent="0.25">
      <c r="A85" s="18"/>
      <c r="B85" s="15"/>
      <c r="C85" s="15"/>
      <c r="D85" s="15"/>
      <c r="E85" s="15"/>
      <c r="F85" s="15"/>
      <c r="G85" s="15"/>
      <c r="H85" s="15"/>
      <c r="I85" s="287" t="s">
        <v>154</v>
      </c>
      <c r="J85" s="288"/>
      <c r="K85" s="289"/>
      <c r="L85" s="106"/>
      <c r="M85" s="288"/>
      <c r="N85" s="288"/>
      <c r="O85" s="289"/>
      <c r="P85" s="289"/>
      <c r="Q85" s="749">
        <f>SUM(Q81:Q84)</f>
        <v>0</v>
      </c>
      <c r="R85" s="1578"/>
      <c r="S85" s="1172"/>
    </row>
    <row r="86" spans="1:19" ht="15.75" thickTop="1" x14ac:dyDescent="0.2">
      <c r="A86" s="98"/>
      <c r="B86" s="81"/>
      <c r="C86" s="64"/>
      <c r="D86" s="64"/>
      <c r="E86" s="64"/>
      <c r="F86" s="64"/>
      <c r="G86" s="64"/>
      <c r="H86" s="64"/>
      <c r="I86" s="64"/>
      <c r="J86" s="64"/>
      <c r="K86" s="335" t="s">
        <v>21</v>
      </c>
      <c r="L86" s="336"/>
      <c r="M86" s="336" t="s">
        <v>91</v>
      </c>
      <c r="N86" s="336"/>
      <c r="O86" s="336"/>
      <c r="P86" s="336"/>
      <c r="Q86" s="750">
        <f>Q79+Q85</f>
        <v>0</v>
      </c>
      <c r="R86" s="1443"/>
      <c r="S86" s="1172"/>
    </row>
    <row r="87" spans="1:19" x14ac:dyDescent="0.2">
      <c r="A87" s="17"/>
      <c r="B87" s="1436"/>
      <c r="C87" s="64"/>
      <c r="D87" s="64"/>
      <c r="E87" s="64"/>
      <c r="F87" s="64"/>
      <c r="G87" s="64"/>
      <c r="H87" s="64"/>
      <c r="I87" s="19"/>
      <c r="J87" s="19"/>
      <c r="K87" s="105" t="s">
        <v>94</v>
      </c>
      <c r="L87" s="104"/>
      <c r="M87" s="104"/>
      <c r="N87" s="290"/>
      <c r="O87" s="290"/>
      <c r="P87" s="290"/>
      <c r="Q87" s="1613">
        <f>ROUND('Previous Claims'!K42,2)</f>
        <v>0</v>
      </c>
      <c r="R87" s="1443"/>
      <c r="S87" s="1172"/>
    </row>
    <row r="88" spans="1:19" ht="16.5" thickBot="1" x14ac:dyDescent="0.25">
      <c r="A88" s="17"/>
      <c r="B88" s="64"/>
      <c r="C88" s="15"/>
      <c r="D88" s="64"/>
      <c r="E88" s="64"/>
      <c r="F88" s="64"/>
      <c r="G88" s="1911" t="str">
        <f>IF($Q$86&lt;$Q$87,"OVERPAID BY (Ecl Tax)",IF($Q$86&gt;$Q$87,"FEES NOW DUE EXCLUDING VAT &amp; NON TAXABLE EXPENSES",""))</f>
        <v/>
      </c>
      <c r="H88" s="1912"/>
      <c r="I88" s="1912"/>
      <c r="J88" s="1912"/>
      <c r="K88" s="1912"/>
      <c r="L88" s="1912"/>
      <c r="M88" s="1913"/>
      <c r="N88" s="1913"/>
      <c r="O88" s="1913"/>
      <c r="P88" s="100"/>
      <c r="Q88" s="751">
        <f>Q86-Q87</f>
        <v>0</v>
      </c>
      <c r="R88" s="1443"/>
      <c r="S88" s="1172"/>
    </row>
    <row r="89" spans="1:19" ht="15.75" thickTop="1" x14ac:dyDescent="0.2">
      <c r="A89" s="98"/>
      <c r="B89" s="81"/>
      <c r="C89" s="64"/>
      <c r="D89" s="81" t="s">
        <v>0</v>
      </c>
      <c r="E89" s="81"/>
      <c r="F89" s="81"/>
      <c r="G89" s="81"/>
      <c r="H89" s="81"/>
      <c r="I89" s="1996">
        <v>0.14000000000000001</v>
      </c>
      <c r="J89" s="1997"/>
      <c r="K89" s="81" t="s">
        <v>19</v>
      </c>
      <c r="L89" s="19"/>
      <c r="M89" s="101">
        <f>IF('Input Data'!D18="none",0,Q88)</f>
        <v>0</v>
      </c>
      <c r="N89" s="81"/>
      <c r="O89" s="81"/>
      <c r="P89" s="81"/>
      <c r="Q89" s="1614">
        <f>I89*M89</f>
        <v>0</v>
      </c>
      <c r="R89" s="1443"/>
      <c r="S89" s="1172"/>
    </row>
    <row r="90" spans="1:19" ht="15.75" thickBot="1" x14ac:dyDescent="0.25">
      <c r="A90" s="17"/>
      <c r="B90" s="64"/>
      <c r="C90" s="64"/>
      <c r="D90" s="102"/>
      <c r="E90" s="102"/>
      <c r="F90" s="102"/>
      <c r="G90" s="102"/>
      <c r="H90" s="102"/>
      <c r="I90" s="94"/>
      <c r="J90" s="103"/>
      <c r="K90" s="64"/>
      <c r="L90" s="103" t="s">
        <v>192</v>
      </c>
      <c r="M90" s="19"/>
      <c r="N90" s="99"/>
      <c r="O90" s="291"/>
      <c r="P90" s="94"/>
      <c r="Q90" s="1615">
        <f>'Non Taxable'!J20</f>
        <v>0</v>
      </c>
      <c r="R90" s="1443"/>
      <c r="S90" s="1172"/>
    </row>
    <row r="91" spans="1:19" ht="24.75" customHeight="1" thickBot="1" x14ac:dyDescent="0.25">
      <c r="A91" s="292" t="s">
        <v>20</v>
      </c>
      <c r="B91" s="14"/>
      <c r="C91" s="14"/>
      <c r="D91" s="14"/>
      <c r="E91" s="14"/>
      <c r="F91" s="14"/>
      <c r="G91" s="14"/>
      <c r="H91" s="14"/>
      <c r="I91" s="1964" t="str">
        <f>IF($Q$86&lt;$Q$87,"AMOUNT TO BE RECOVERED (Incl VAT)",IF($Q$86&gt;$Q$87,"FEES NOW DUE INCLUDING VAT &amp; NON TAXABLE EXPENSES",""))</f>
        <v/>
      </c>
      <c r="J91" s="1965"/>
      <c r="K91" s="1965"/>
      <c r="L91" s="1965"/>
      <c r="M91" s="1965"/>
      <c r="N91" s="1965"/>
      <c r="O91" s="1965"/>
      <c r="P91" s="383"/>
      <c r="Q91" s="1639">
        <f>Q88+Q89+Q90</f>
        <v>0</v>
      </c>
      <c r="R91" s="1443"/>
      <c r="S91" s="1172"/>
    </row>
    <row r="92" spans="1:19" ht="23.25" customHeight="1" thickTop="1" thickBot="1" x14ac:dyDescent="0.25">
      <c r="A92" s="721" t="s">
        <v>107</v>
      </c>
      <c r="B92" s="722"/>
      <c r="C92" s="722"/>
      <c r="D92" s="722"/>
      <c r="E92" s="722"/>
      <c r="F92" s="722"/>
      <c r="G92" s="722"/>
      <c r="H92" s="722"/>
      <c r="I92" s="722"/>
      <c r="J92" s="722"/>
      <c r="K92" s="722"/>
      <c r="L92" s="722"/>
      <c r="M92" s="722"/>
      <c r="N92" s="722"/>
      <c r="O92" s="722"/>
      <c r="P92" s="722"/>
      <c r="Q92" s="723"/>
      <c r="R92" s="1443"/>
      <c r="S92" s="1172"/>
    </row>
    <row r="93" spans="1:19" ht="9.75" customHeight="1" thickTop="1" x14ac:dyDescent="0.2">
      <c r="A93" s="663"/>
      <c r="B93" s="664"/>
      <c r="C93" s="665"/>
      <c r="D93" s="665"/>
      <c r="E93" s="666"/>
      <c r="F93" s="665"/>
      <c r="G93" s="665"/>
      <c r="H93" s="665"/>
      <c r="I93" s="667"/>
      <c r="J93" s="668"/>
      <c r="K93" s="668"/>
      <c r="L93" s="668"/>
      <c r="M93" s="668"/>
      <c r="N93" s="668"/>
      <c r="O93" s="669"/>
      <c r="P93" s="670"/>
      <c r="Q93" s="671"/>
      <c r="R93" s="1443"/>
      <c r="S93" s="1172"/>
    </row>
    <row r="94" spans="1:19" ht="15.75" x14ac:dyDescent="0.2">
      <c r="A94" s="672" t="s">
        <v>349</v>
      </c>
      <c r="B94" s="673"/>
      <c r="C94" s="665"/>
      <c r="D94" s="665"/>
      <c r="E94" s="665"/>
      <c r="F94" s="665"/>
      <c r="G94" s="665"/>
      <c r="H94" s="665"/>
      <c r="I94" s="665"/>
      <c r="J94" s="668"/>
      <c r="K94" s="668"/>
      <c r="L94" s="668"/>
      <c r="M94" s="668"/>
      <c r="N94" s="668"/>
      <c r="O94" s="669"/>
      <c r="P94" s="670"/>
      <c r="Q94" s="671"/>
      <c r="R94" s="1443"/>
      <c r="S94" s="1172"/>
    </row>
    <row r="95" spans="1:19" ht="7.5" customHeight="1" x14ac:dyDescent="0.2">
      <c r="A95" s="674"/>
      <c r="B95" s="673"/>
      <c r="C95" s="665"/>
      <c r="D95" s="665"/>
      <c r="E95" s="665"/>
      <c r="F95" s="665"/>
      <c r="G95" s="665"/>
      <c r="H95" s="665"/>
      <c r="I95" s="665"/>
      <c r="J95" s="668"/>
      <c r="K95" s="668"/>
      <c r="L95" s="668"/>
      <c r="M95" s="668"/>
      <c r="N95" s="668"/>
      <c r="O95" s="669"/>
      <c r="P95" s="670"/>
      <c r="Q95" s="671"/>
      <c r="R95" s="1443"/>
      <c r="S95" s="1172"/>
    </row>
    <row r="96" spans="1:19" ht="15.75" x14ac:dyDescent="0.2">
      <c r="A96" s="675"/>
      <c r="B96" s="676" t="s">
        <v>289</v>
      </c>
      <c r="C96" s="677"/>
      <c r="D96" s="678"/>
      <c r="E96" s="679"/>
      <c r="F96" s="679"/>
      <c r="G96" s="679"/>
      <c r="H96" s="679"/>
      <c r="I96" s="680"/>
      <c r="J96" s="668"/>
      <c r="K96" s="680"/>
      <c r="L96" s="676" t="s">
        <v>290</v>
      </c>
      <c r="M96" s="681"/>
      <c r="N96" s="681"/>
      <c r="O96" s="669"/>
      <c r="P96" s="670"/>
      <c r="Q96" s="671"/>
      <c r="R96" s="1443"/>
      <c r="S96" s="1172"/>
    </row>
    <row r="97" spans="1:19" ht="9.75" customHeight="1" thickBot="1" x14ac:dyDescent="0.25">
      <c r="A97" s="682"/>
      <c r="B97" s="683"/>
      <c r="C97" s="684"/>
      <c r="D97" s="684"/>
      <c r="E97" s="684" t="s">
        <v>291</v>
      </c>
      <c r="F97" s="684"/>
      <c r="G97" s="684"/>
      <c r="H97" s="684"/>
      <c r="I97" s="685"/>
      <c r="J97" s="686"/>
      <c r="K97" s="686"/>
      <c r="L97" s="686"/>
      <c r="M97" s="686"/>
      <c r="N97" s="686"/>
      <c r="O97" s="687"/>
      <c r="P97" s="688"/>
      <c r="Q97" s="689"/>
      <c r="R97" s="1443"/>
      <c r="S97" s="1172"/>
    </row>
    <row r="98" spans="1:19" ht="15.75" thickTop="1" x14ac:dyDescent="0.2">
      <c r="A98" s="690" t="s">
        <v>292</v>
      </c>
      <c r="B98" s="664"/>
      <c r="C98" s="665"/>
      <c r="D98" s="679"/>
      <c r="E98" s="679"/>
      <c r="F98" s="665"/>
      <c r="G98" s="679"/>
      <c r="H98" s="679"/>
      <c r="I98" s="666"/>
      <c r="J98" s="691"/>
      <c r="K98" s="665"/>
      <c r="L98" s="691"/>
      <c r="M98" s="665"/>
      <c r="N98" s="691"/>
      <c r="O98" s="665"/>
      <c r="P98" s="691"/>
      <c r="Q98" s="692"/>
      <c r="R98" s="1443"/>
      <c r="S98" s="1172"/>
    </row>
    <row r="99" spans="1:19" x14ac:dyDescent="0.2">
      <c r="A99" s="693" t="s">
        <v>293</v>
      </c>
      <c r="B99" s="673"/>
      <c r="C99" s="665"/>
      <c r="D99" s="679"/>
      <c r="E99" s="679"/>
      <c r="F99" s="665"/>
      <c r="G99" s="679"/>
      <c r="H99" s="679"/>
      <c r="I99" s="665"/>
      <c r="J99" s="691"/>
      <c r="K99" s="665"/>
      <c r="L99" s="691"/>
      <c r="M99" s="665"/>
      <c r="N99" s="691"/>
      <c r="O99" s="665"/>
      <c r="P99" s="691"/>
      <c r="Q99" s="694"/>
      <c r="R99" s="1443"/>
      <c r="S99" s="1172"/>
    </row>
    <row r="100" spans="1:19" ht="9" customHeight="1" x14ac:dyDescent="0.2">
      <c r="A100" s="674"/>
      <c r="B100" s="673"/>
      <c r="C100" s="665"/>
      <c r="D100" s="679"/>
      <c r="E100" s="679"/>
      <c r="F100" s="665"/>
      <c r="G100" s="679"/>
      <c r="H100" s="679"/>
      <c r="I100" s="665"/>
      <c r="J100" s="669"/>
      <c r="K100" s="665"/>
      <c r="L100" s="695"/>
      <c r="M100" s="665"/>
      <c r="N100" s="696"/>
      <c r="O100" s="665"/>
      <c r="P100" s="697"/>
      <c r="Q100" s="694"/>
      <c r="R100" s="1443"/>
      <c r="S100" s="1172"/>
    </row>
    <row r="101" spans="1:19" ht="15.75" x14ac:dyDescent="0.2">
      <c r="A101" s="675"/>
      <c r="B101" s="676" t="s">
        <v>294</v>
      </c>
      <c r="C101" s="677"/>
      <c r="D101" s="698"/>
      <c r="E101" s="698"/>
      <c r="F101" s="678"/>
      <c r="G101" s="698"/>
      <c r="H101" s="698"/>
      <c r="I101" s="681"/>
      <c r="J101" s="699"/>
      <c r="K101" s="679"/>
      <c r="L101" s="676" t="s">
        <v>295</v>
      </c>
      <c r="M101" s="681"/>
      <c r="N101" s="700"/>
      <c r="O101" s="681"/>
      <c r="P101" s="691"/>
      <c r="Q101" s="701"/>
      <c r="R101" s="1443"/>
      <c r="S101" s="1172"/>
    </row>
    <row r="102" spans="1:19" ht="8.25" customHeight="1" x14ac:dyDescent="0.2">
      <c r="A102" s="702"/>
      <c r="B102" s="703"/>
      <c r="C102" s="704"/>
      <c r="D102" s="679"/>
      <c r="E102" s="679"/>
      <c r="F102" s="665"/>
      <c r="G102" s="679"/>
      <c r="H102" s="679"/>
      <c r="I102" s="680"/>
      <c r="J102" s="699"/>
      <c r="K102" s="676"/>
      <c r="L102" s="691"/>
      <c r="M102" s="680"/>
      <c r="N102" s="705"/>
      <c r="O102" s="680"/>
      <c r="P102" s="691"/>
      <c r="Q102" s="701"/>
      <c r="R102" s="1443"/>
      <c r="S102" s="1172"/>
    </row>
    <row r="103" spans="1:19" x14ac:dyDescent="0.2">
      <c r="A103" s="715"/>
      <c r="B103" s="716" t="s">
        <v>290</v>
      </c>
      <c r="C103" s="678"/>
      <c r="D103" s="698"/>
      <c r="E103" s="698"/>
      <c r="F103" s="678"/>
      <c r="G103" s="698"/>
      <c r="H103" s="698"/>
      <c r="I103" s="678"/>
      <c r="J103" s="717"/>
      <c r="K103" s="716"/>
      <c r="L103" s="716" t="s">
        <v>290</v>
      </c>
      <c r="M103" s="678"/>
      <c r="N103" s="718"/>
      <c r="O103" s="678"/>
      <c r="P103" s="717"/>
      <c r="Q103" s="719"/>
      <c r="R103" s="1443"/>
      <c r="S103" s="1172"/>
    </row>
    <row r="104" spans="1:19" x14ac:dyDescent="0.2">
      <c r="A104" s="720" t="s">
        <v>370</v>
      </c>
      <c r="B104" s="1921"/>
      <c r="C104" s="1922"/>
      <c r="D104" s="1922"/>
      <c r="E104" s="1922"/>
      <c r="F104" s="1922"/>
      <c r="G104" s="1922"/>
      <c r="H104" s="1922"/>
      <c r="I104" s="1922"/>
      <c r="J104" s="1922"/>
      <c r="K104" s="1922"/>
      <c r="L104" s="1922"/>
      <c r="M104" s="1922"/>
      <c r="N104" s="1922"/>
      <c r="O104" s="1922"/>
      <c r="P104" s="1922"/>
      <c r="Q104" s="1923"/>
      <c r="R104" s="1443"/>
      <c r="S104" s="1172"/>
    </row>
    <row r="105" spans="1:19" ht="15.75" thickBot="1" x14ac:dyDescent="0.25">
      <c r="A105" s="706"/>
      <c r="B105" s="1924"/>
      <c r="C105" s="1924"/>
      <c r="D105" s="1924"/>
      <c r="E105" s="1924"/>
      <c r="F105" s="1924"/>
      <c r="G105" s="1924"/>
      <c r="H105" s="1924"/>
      <c r="I105" s="1924"/>
      <c r="J105" s="1924"/>
      <c r="K105" s="1924"/>
      <c r="L105" s="1924"/>
      <c r="M105" s="1924"/>
      <c r="N105" s="1924"/>
      <c r="O105" s="1924"/>
      <c r="P105" s="1924"/>
      <c r="Q105" s="1925"/>
      <c r="R105" s="1443"/>
      <c r="S105" s="1172"/>
    </row>
    <row r="106" spans="1:19" ht="16.5" thickTop="1" x14ac:dyDescent="0.2">
      <c r="A106" s="516" t="s">
        <v>292</v>
      </c>
      <c r="B106" s="519"/>
      <c r="C106" s="514"/>
      <c r="D106" s="29"/>
      <c r="E106" s="29"/>
      <c r="F106" s="514"/>
      <c r="G106" s="29"/>
      <c r="H106" s="29"/>
      <c r="I106" s="514"/>
      <c r="J106" s="29"/>
      <c r="K106" s="519"/>
      <c r="L106" s="29"/>
      <c r="M106" s="514"/>
      <c r="N106" s="517"/>
      <c r="O106" s="514"/>
      <c r="P106" s="156"/>
      <c r="Q106" s="1445"/>
      <c r="R106" s="1443"/>
      <c r="S106" s="1172"/>
    </row>
    <row r="107" spans="1:19" ht="15.75" x14ac:dyDescent="0.2">
      <c r="A107" s="520" t="s">
        <v>296</v>
      </c>
      <c r="B107" s="521" t="s">
        <v>297</v>
      </c>
      <c r="C107" s="515"/>
      <c r="D107" s="518"/>
      <c r="E107" s="518"/>
      <c r="F107" s="515"/>
      <c r="G107" s="518"/>
      <c r="H107" s="518"/>
      <c r="I107" s="515"/>
      <c r="J107" s="518"/>
      <c r="K107" s="515"/>
      <c r="L107" s="518"/>
      <c r="M107" s="515"/>
      <c r="N107" s="522"/>
      <c r="O107" s="515"/>
      <c r="P107" s="518"/>
      <c r="Q107" s="1591"/>
      <c r="R107" s="1443"/>
      <c r="S107" s="1172"/>
    </row>
    <row r="108" spans="1:19" ht="25.5" customHeight="1" x14ac:dyDescent="0.2">
      <c r="A108" s="523" t="s">
        <v>298</v>
      </c>
      <c r="B108" s="524" t="s">
        <v>299</v>
      </c>
      <c r="C108" s="1928" t="s">
        <v>300</v>
      </c>
      <c r="D108" s="1929"/>
      <c r="E108" s="1929"/>
      <c r="F108" s="1928" t="s">
        <v>673</v>
      </c>
      <c r="G108" s="1929"/>
      <c r="H108" s="1929"/>
      <c r="I108" s="1928" t="s">
        <v>301</v>
      </c>
      <c r="J108" s="1929"/>
      <c r="K108" s="1928" t="s">
        <v>302</v>
      </c>
      <c r="L108" s="1929"/>
      <c r="M108" s="1928" t="s">
        <v>303</v>
      </c>
      <c r="N108" s="1929"/>
      <c r="O108" s="1610" t="s">
        <v>661</v>
      </c>
      <c r="P108" s="1607" t="s">
        <v>304</v>
      </c>
      <c r="Q108" s="525" t="s">
        <v>305</v>
      </c>
      <c r="R108" s="1443"/>
    </row>
    <row r="109" spans="1:19" x14ac:dyDescent="0.2">
      <c r="A109" s="526" t="s">
        <v>306</v>
      </c>
      <c r="B109" s="771">
        <f>'Previous Claims'!J42-C109-F109-I109-K109-M109</f>
        <v>0</v>
      </c>
      <c r="C109" s="1944">
        <f>'Time Based'!I70</f>
        <v>0</v>
      </c>
      <c r="D109" s="1945"/>
      <c r="E109" s="1945"/>
      <c r="F109" s="1944">
        <f>'Subsistence &amp; Travelling'!O87</f>
        <v>0</v>
      </c>
      <c r="G109" s="1945"/>
      <c r="H109" s="1945"/>
      <c r="I109" s="1944">
        <f>'Typing, Duplicating, &amp; Printing'!J64</f>
        <v>0</v>
      </c>
      <c r="J109" s="1945"/>
      <c r="K109" s="1944">
        <f>'Site staff &amp; Other'!I67</f>
        <v>0</v>
      </c>
      <c r="L109" s="1945"/>
      <c r="M109" s="1944">
        <f>'Previous Claims'!I42</f>
        <v>0</v>
      </c>
      <c r="N109" s="1945"/>
      <c r="O109" s="1611"/>
      <c r="P109" s="1597">
        <f>'Non Taxable'!J19</f>
        <v>0</v>
      </c>
      <c r="Q109" s="772">
        <f>SUM(B109:P109)</f>
        <v>0</v>
      </c>
      <c r="R109" s="1589"/>
    </row>
    <row r="110" spans="1:19" x14ac:dyDescent="0.2">
      <c r="A110" s="526" t="s">
        <v>307</v>
      </c>
      <c r="B110" s="771">
        <f>Q71-B109</f>
        <v>0</v>
      </c>
      <c r="C110" s="1932">
        <f>Q76-C109</f>
        <v>0</v>
      </c>
      <c r="D110" s="1942"/>
      <c r="E110" s="1943"/>
      <c r="F110" s="1932">
        <f>Q81-F109</f>
        <v>0</v>
      </c>
      <c r="G110" s="1942"/>
      <c r="H110" s="1943"/>
      <c r="I110" s="1932">
        <f>Q82-I109</f>
        <v>0</v>
      </c>
      <c r="J110" s="1943"/>
      <c r="K110" s="1932">
        <f>Q83+Q84-K109</f>
        <v>0</v>
      </c>
      <c r="L110" s="1943"/>
      <c r="M110" s="1932">
        <f>Q89</f>
        <v>0</v>
      </c>
      <c r="N110" s="1943"/>
      <c r="O110" s="1612">
        <f>-Q78</f>
        <v>0</v>
      </c>
      <c r="P110" s="1597">
        <f>Q90</f>
        <v>0</v>
      </c>
      <c r="Q110" s="772">
        <f>B110+C110+F110+I110+K110+M110+O110+P110</f>
        <v>0</v>
      </c>
      <c r="R110" s="1578"/>
    </row>
    <row r="111" spans="1:19" x14ac:dyDescent="0.2">
      <c r="A111" s="526" t="s">
        <v>308</v>
      </c>
      <c r="B111" s="771">
        <f>B109+B110</f>
        <v>0</v>
      </c>
      <c r="C111" s="1944">
        <f>C109+C110</f>
        <v>0</v>
      </c>
      <c r="D111" s="1945"/>
      <c r="E111" s="1945"/>
      <c r="F111" s="1932">
        <f>F109+F110</f>
        <v>0</v>
      </c>
      <c r="G111" s="1933"/>
      <c r="H111" s="1934"/>
      <c r="I111" s="1932">
        <f>I109+I110</f>
        <v>0</v>
      </c>
      <c r="J111" s="1934"/>
      <c r="K111" s="1932">
        <f>K109+K110</f>
        <v>0</v>
      </c>
      <c r="L111" s="1934"/>
      <c r="M111" s="1932">
        <f>M109+M110</f>
        <v>0</v>
      </c>
      <c r="N111" s="1934"/>
      <c r="O111" s="1612">
        <f>O109+O110</f>
        <v>0</v>
      </c>
      <c r="P111" s="1597">
        <f>P109+P110</f>
        <v>0</v>
      </c>
      <c r="Q111" s="772">
        <f>SUM(B111:P111)</f>
        <v>0</v>
      </c>
      <c r="R111" s="1443"/>
    </row>
    <row r="112" spans="1:19" ht="15.75" thickBot="1" x14ac:dyDescent="0.25">
      <c r="A112" s="601" t="s">
        <v>296</v>
      </c>
      <c r="B112" s="773"/>
      <c r="C112" s="1940"/>
      <c r="D112" s="1941"/>
      <c r="E112" s="1941"/>
      <c r="F112" s="1935"/>
      <c r="G112" s="1936"/>
      <c r="H112" s="1931"/>
      <c r="I112" s="1930"/>
      <c r="J112" s="1931"/>
      <c r="K112" s="1930"/>
      <c r="L112" s="1931"/>
      <c r="M112" s="1930"/>
      <c r="N112" s="1931"/>
      <c r="O112" s="1608"/>
      <c r="P112" s="1609"/>
      <c r="Q112" s="1638">
        <f>SUM(B112:P112)</f>
        <v>0</v>
      </c>
      <c r="R112" s="1443"/>
      <c r="S112" s="1172"/>
    </row>
    <row r="113" spans="1:19" ht="16.5" thickTop="1" thickBot="1" x14ac:dyDescent="0.25">
      <c r="R113" s="1172"/>
      <c r="S113" s="1172"/>
    </row>
    <row r="114" spans="1:19" ht="21" thickTop="1" x14ac:dyDescent="0.2">
      <c r="A114" s="602" t="s">
        <v>280</v>
      </c>
      <c r="B114" s="496"/>
      <c r="C114" s="496"/>
      <c r="D114" s="496"/>
      <c r="E114" s="496"/>
      <c r="F114" s="496"/>
      <c r="G114" s="496"/>
      <c r="H114" s="496"/>
      <c r="I114" s="496"/>
      <c r="J114" s="496"/>
      <c r="K114" s="496"/>
      <c r="L114" s="496"/>
      <c r="M114" s="496"/>
      <c r="N114" s="496"/>
      <c r="O114" s="496"/>
      <c r="P114" s="496"/>
      <c r="Q114" s="600"/>
      <c r="R114" s="1172"/>
      <c r="S114" s="1172"/>
    </row>
    <row r="115" spans="1:19" ht="18" x14ac:dyDescent="0.2">
      <c r="A115" s="603" t="s">
        <v>25</v>
      </c>
      <c r="B115" s="29"/>
      <c r="C115" s="29"/>
      <c r="D115" s="29"/>
      <c r="E115" s="29"/>
      <c r="F115" s="29"/>
      <c r="G115" s="29"/>
      <c r="H115" s="29"/>
      <c r="I115" s="29"/>
      <c r="J115" s="29"/>
      <c r="K115" s="29"/>
      <c r="L115" s="29"/>
      <c r="M115" s="29"/>
      <c r="N115" s="29"/>
      <c r="O115" s="29"/>
      <c r="P115" s="29"/>
      <c r="Q115" s="384"/>
      <c r="R115" s="1172"/>
      <c r="S115" s="1172"/>
    </row>
    <row r="116" spans="1:19" ht="18" x14ac:dyDescent="0.2">
      <c r="A116" s="136" t="s">
        <v>279</v>
      </c>
      <c r="B116" s="19"/>
      <c r="C116" s="20"/>
      <c r="D116" s="36"/>
      <c r="E116" s="36"/>
      <c r="F116" s="36"/>
      <c r="G116" s="36"/>
      <c r="H116" s="36"/>
      <c r="I116" s="37"/>
      <c r="J116" s="38"/>
      <c r="K116" s="25">
        <f>IF('Input Data'!E10="E",VLOOKUP($Q$19,SCALE_2012SE1,3),0)</f>
        <v>0</v>
      </c>
      <c r="L116" s="51" t="s">
        <v>98</v>
      </c>
      <c r="M116" s="39">
        <f>IF('Input Data'!E10="E",VLOOKUP($Q$19,SCALE_2012SE1,4),0)</f>
        <v>0.125</v>
      </c>
      <c r="N116" s="40" t="s">
        <v>1</v>
      </c>
      <c r="O116" s="41">
        <f>IF('Input Data'!E10="E",($Q$19-(VLOOKUP($Q$19,SCALE_2012SE1,1))),Q19)</f>
        <v>0</v>
      </c>
      <c r="P116" s="42" t="s">
        <v>3</v>
      </c>
      <c r="Q116" s="766">
        <f>IF('Input Data'!$H$50&gt;'Input Data'!$H$38,(K116+M116*O116),0)</f>
        <v>0</v>
      </c>
      <c r="R116" s="1172"/>
      <c r="S116" s="1172"/>
    </row>
    <row r="117" spans="1:19" ht="8.25" customHeight="1" x14ac:dyDescent="0.2">
      <c r="A117" s="44"/>
      <c r="B117" s="19"/>
      <c r="C117" s="20"/>
      <c r="D117" s="45"/>
      <c r="E117" s="45"/>
      <c r="F117" s="45"/>
      <c r="G117" s="45"/>
      <c r="H117" s="45"/>
      <c r="I117" s="20"/>
      <c r="J117" s="20"/>
      <c r="K117" s="25"/>
      <c r="L117" s="47"/>
      <c r="M117" s="48"/>
      <c r="N117" s="40"/>
      <c r="O117" s="25"/>
      <c r="P117" s="25"/>
      <c r="Q117" s="761"/>
      <c r="R117" s="1172"/>
      <c r="S117" s="1172"/>
    </row>
    <row r="118" spans="1:19" ht="20.25" customHeight="1" x14ac:dyDescent="0.2">
      <c r="A118" s="1907" t="s">
        <v>371</v>
      </c>
      <c r="B118" s="1937"/>
      <c r="C118" s="1937"/>
      <c r="D118" s="1937"/>
      <c r="E118" s="1909"/>
      <c r="F118" s="1909"/>
      <c r="G118" s="1909"/>
      <c r="H118" s="1909"/>
      <c r="I118" s="1909"/>
      <c r="J118" s="1938"/>
      <c r="K118" s="25">
        <f>IF('Input Data'!E10="E",VLOOKUP($J$20,SCALE_2012SE2,3),0)</f>
        <v>0</v>
      </c>
      <c r="L118" s="51" t="s">
        <v>98</v>
      </c>
      <c r="M118" s="39">
        <f>IF('Input Data'!E10="E",VLOOKUP($J$20,SCALE_2012SE2,4),0)</f>
        <v>0.05</v>
      </c>
      <c r="N118" s="40" t="s">
        <v>23</v>
      </c>
      <c r="O118" s="41">
        <f>IF('Input Data'!E10="E",($J$20-(VLOOKUP($J$20,SCALE_2012SE2,1))),J20)</f>
        <v>0</v>
      </c>
      <c r="P118" s="42" t="s">
        <v>3</v>
      </c>
      <c r="Q118" s="766">
        <f>IF('Input Data'!$H$52&gt;'Input Data'!$H$38,(K118+M118*O118),0)</f>
        <v>0</v>
      </c>
      <c r="R118" s="1172"/>
      <c r="S118" s="1172"/>
    </row>
    <row r="119" spans="1:19" ht="18.75" thickBot="1" x14ac:dyDescent="0.25">
      <c r="A119" s="10"/>
      <c r="B119" s="367"/>
      <c r="C119" s="367"/>
      <c r="D119" s="367"/>
      <c r="E119" s="367"/>
      <c r="F119" s="367"/>
      <c r="G119" s="367"/>
      <c r="H119" s="367"/>
      <c r="I119" s="49"/>
      <c r="J119" s="50"/>
      <c r="K119" s="25"/>
      <c r="L119" s="51"/>
      <c r="M119" s="29"/>
      <c r="N119" s="52" t="s">
        <v>117</v>
      </c>
      <c r="O119" s="41"/>
      <c r="P119" s="42"/>
      <c r="Q119" s="770">
        <f>SUM(Q116:Q118)</f>
        <v>0</v>
      </c>
      <c r="R119" s="1172"/>
      <c r="S119" s="1172"/>
    </row>
    <row r="120" spans="1:19" ht="9.75" customHeight="1" thickTop="1" thickBot="1" x14ac:dyDescent="0.25">
      <c r="A120" s="44"/>
      <c r="B120" s="19"/>
      <c r="C120" s="20"/>
      <c r="D120" s="45"/>
      <c r="E120" s="45"/>
      <c r="F120" s="45"/>
      <c r="G120" s="45"/>
      <c r="H120" s="45"/>
      <c r="I120" s="20"/>
      <c r="J120" s="20"/>
      <c r="K120" s="46"/>
      <c r="L120" s="25"/>
      <c r="M120" s="48"/>
      <c r="N120" s="40"/>
      <c r="O120" s="25"/>
      <c r="P120" s="25"/>
      <c r="Q120" s="43"/>
      <c r="R120" s="1172"/>
      <c r="S120" s="1172"/>
    </row>
    <row r="121" spans="1:19" x14ac:dyDescent="0.2">
      <c r="A121" s="1939" t="s">
        <v>148</v>
      </c>
      <c r="B121" s="1916"/>
      <c r="C121" s="1916"/>
      <c r="D121" s="275"/>
      <c r="E121" s="275"/>
      <c r="F121" s="275"/>
      <c r="G121" s="275"/>
      <c r="H121" s="275"/>
      <c r="I121" s="375"/>
      <c r="J121" s="277"/>
      <c r="K121" s="278">
        <f>IF('Input Data'!$F$32=1,0.05,IF('Input Data'!$F$32=2,Scales!$L$5,IF('Input Data'!$F$32=3,Scales!$L$6,IF('Input Data'!$F$32=4,Scales!$L$7,0.7))))</f>
        <v>0.55000000000000004</v>
      </c>
      <c r="L121" s="279" t="s">
        <v>2</v>
      </c>
      <c r="M121" s="774">
        <f>'Input Data'!$H$41</f>
        <v>0</v>
      </c>
      <c r="N121" s="775" t="s">
        <v>23</v>
      </c>
      <c r="O121" s="776">
        <f>IF('Input Data'!$H$41&gt;0,$Q$116,0)</f>
        <v>0</v>
      </c>
      <c r="P121" s="281"/>
      <c r="Q121" s="752">
        <f>IF('Input Data'!$H$41&gt;0,IF('Input Data'!$D$34="N",(K121*M121/M122*O121),0),0)</f>
        <v>0</v>
      </c>
      <c r="R121" s="1172"/>
      <c r="S121" s="1172"/>
    </row>
    <row r="122" spans="1:19" x14ac:dyDescent="0.2">
      <c r="A122" s="1910"/>
      <c r="B122" s="1909"/>
      <c r="C122" s="1909"/>
      <c r="D122" s="19"/>
      <c r="E122" s="19"/>
      <c r="F122" s="19"/>
      <c r="G122" s="19"/>
      <c r="H122" s="19"/>
      <c r="I122" s="62"/>
      <c r="J122" s="45"/>
      <c r="K122" s="49"/>
      <c r="L122" s="25"/>
      <c r="M122" s="777">
        <f>IF('Input Data'!$H$41&gt;0,'Input Data'!$H$50,0)</f>
        <v>0</v>
      </c>
      <c r="N122" s="778"/>
      <c r="O122" s="779"/>
      <c r="P122" s="46"/>
      <c r="Q122" s="753"/>
      <c r="R122" s="1172"/>
      <c r="S122" s="1172"/>
    </row>
    <row r="123" spans="1:19" ht="8.25" customHeight="1" x14ac:dyDescent="0.2">
      <c r="A123" s="63"/>
      <c r="B123" s="64"/>
      <c r="C123" s="19"/>
      <c r="D123" s="19"/>
      <c r="E123" s="19"/>
      <c r="F123" s="19"/>
      <c r="G123" s="19"/>
      <c r="H123" s="19"/>
      <c r="I123" s="65"/>
      <c r="J123" s="50"/>
      <c r="K123" s="66"/>
      <c r="L123" s="67"/>
      <c r="M123" s="780"/>
      <c r="N123" s="781"/>
      <c r="O123" s="780"/>
      <c r="P123" s="67"/>
      <c r="Q123" s="754"/>
      <c r="R123" s="1172"/>
      <c r="S123" s="1172"/>
    </row>
    <row r="124" spans="1:19" x14ac:dyDescent="0.2">
      <c r="A124" s="1917" t="s">
        <v>108</v>
      </c>
      <c r="B124" s="1918"/>
      <c r="C124" s="1918"/>
      <c r="D124" s="1918"/>
      <c r="E124" s="9"/>
      <c r="F124" s="9"/>
      <c r="G124" s="9"/>
      <c r="H124" s="9"/>
      <c r="I124" s="65">
        <f>IF('Input Data'!H42&gt;0,0.25,0)</f>
        <v>0</v>
      </c>
      <c r="J124" s="36" t="s">
        <v>1</v>
      </c>
      <c r="K124" s="49">
        <f>IF('Input Data'!$F$32=1,0.05,IF('Input Data'!$F$32=2,Scales!$L$5,IF('Input Data'!$F$32=3,Scales!$L$6,IF('Input Data'!$F$32=4,Scales!$L$7,0.7))))</f>
        <v>0.55000000000000004</v>
      </c>
      <c r="L124" s="42" t="s">
        <v>2</v>
      </c>
      <c r="M124" s="779">
        <f>'Input Data'!$H$42</f>
        <v>0</v>
      </c>
      <c r="N124" s="778" t="s">
        <v>23</v>
      </c>
      <c r="O124" s="779">
        <f>IF('Input Data'!$H$42&gt;0,$Q$116,0)</f>
        <v>0</v>
      </c>
      <c r="P124" s="67"/>
      <c r="Q124" s="753">
        <f>IF('Input Data'!$H$42&gt;0,IF('Input Data'!$D$34="N",(I124*K124*M124/M125*O124),0),0)</f>
        <v>0</v>
      </c>
      <c r="R124" s="1172"/>
      <c r="S124" s="1172"/>
    </row>
    <row r="125" spans="1:19" x14ac:dyDescent="0.2">
      <c r="A125" s="1919"/>
      <c r="B125" s="1920"/>
      <c r="C125" s="1920"/>
      <c r="D125" s="1920"/>
      <c r="E125" s="4"/>
      <c r="F125" s="4"/>
      <c r="G125" s="4"/>
      <c r="H125" s="4"/>
      <c r="I125" s="65"/>
      <c r="J125" s="50"/>
      <c r="K125" s="66"/>
      <c r="L125" s="67"/>
      <c r="M125" s="782">
        <f>IF('Input Data'!$H$42&gt;0,'Input Data'!$H$50,0)</f>
        <v>0</v>
      </c>
      <c r="N125" s="781"/>
      <c r="O125" s="780"/>
      <c r="P125" s="67"/>
      <c r="Q125" s="754"/>
      <c r="R125" s="1172"/>
      <c r="S125" s="1172"/>
    </row>
    <row r="126" spans="1:19" ht="8.25" customHeight="1" x14ac:dyDescent="0.2">
      <c r="A126" s="5"/>
      <c r="B126" s="4"/>
      <c r="C126" s="4"/>
      <c r="D126" s="4"/>
      <c r="E126" s="4"/>
      <c r="F126" s="4"/>
      <c r="G126" s="4"/>
      <c r="H126" s="4"/>
      <c r="I126" s="65"/>
      <c r="J126" s="50"/>
      <c r="K126" s="66"/>
      <c r="L126" s="67"/>
      <c r="M126" s="780"/>
      <c r="N126" s="781"/>
      <c r="O126" s="780"/>
      <c r="P126" s="67"/>
      <c r="Q126" s="754"/>
      <c r="R126" s="1172"/>
      <c r="S126" s="1172"/>
    </row>
    <row r="127" spans="1:19" x14ac:dyDescent="0.2">
      <c r="A127" s="1907" t="s">
        <v>149</v>
      </c>
      <c r="B127" s="1908"/>
      <c r="C127" s="1909"/>
      <c r="D127" s="1909"/>
      <c r="E127" s="368"/>
      <c r="F127" s="368"/>
      <c r="G127" s="368"/>
      <c r="H127" s="368"/>
      <c r="I127" s="65">
        <f>IF('Input Data'!$H$43&gt;0,1.25,0)</f>
        <v>0</v>
      </c>
      <c r="J127" s="36" t="s">
        <v>1</v>
      </c>
      <c r="K127" s="49">
        <f>IF('Input Data'!$F$32=1,0.05,IF('Input Data'!$F$32=2,Scales!$L$5,IF('Input Data'!$F$32=3,Scales!$L$6,IF('Input Data'!$F$32=4,Scales!$L$7,0.7))))</f>
        <v>0.55000000000000004</v>
      </c>
      <c r="L127" s="42" t="s">
        <v>2</v>
      </c>
      <c r="M127" s="779">
        <f>'Input Data'!$H$43</f>
        <v>0</v>
      </c>
      <c r="N127" s="778" t="s">
        <v>23</v>
      </c>
      <c r="O127" s="779">
        <f>IF('Input Data'!$H$43&gt;0,$Q$116,0)</f>
        <v>0</v>
      </c>
      <c r="P127" s="25"/>
      <c r="Q127" s="753">
        <f>IF('Input Data'!$H$43&gt;0,IF('Input Data'!$D$34="N",(I127*K127*M127/M128*O127),0),0)</f>
        <v>0</v>
      </c>
      <c r="R127" s="1172"/>
      <c r="S127" s="1172"/>
    </row>
    <row r="128" spans="1:19" x14ac:dyDescent="0.2">
      <c r="A128" s="1926"/>
      <c r="B128" s="1927"/>
      <c r="C128" s="1927"/>
      <c r="D128" s="1927"/>
      <c r="E128" s="19"/>
      <c r="F128" s="19"/>
      <c r="G128" s="19"/>
      <c r="H128" s="19"/>
      <c r="I128" s="65"/>
      <c r="J128" s="50"/>
      <c r="K128" s="66"/>
      <c r="L128" s="67"/>
      <c r="M128" s="782">
        <f>IF('Input Data'!$H$43&gt;0,'Input Data'!$H$50,0)</f>
        <v>0</v>
      </c>
      <c r="N128" s="781"/>
      <c r="O128" s="780"/>
      <c r="P128" s="67"/>
      <c r="Q128" s="754"/>
      <c r="R128" s="1172"/>
      <c r="S128" s="1172"/>
    </row>
    <row r="129" spans="1:19" ht="10.5" customHeight="1" x14ac:dyDescent="0.2">
      <c r="A129" s="63"/>
      <c r="B129" s="64"/>
      <c r="C129" s="19"/>
      <c r="D129" s="19"/>
      <c r="E129" s="19"/>
      <c r="F129" s="19"/>
      <c r="G129" s="19"/>
      <c r="H129" s="19"/>
      <c r="I129" s="65"/>
      <c r="J129" s="50"/>
      <c r="K129" s="66"/>
      <c r="L129" s="67"/>
      <c r="M129" s="780"/>
      <c r="N129" s="781"/>
      <c r="O129" s="780"/>
      <c r="P129" s="67"/>
      <c r="Q129" s="754"/>
      <c r="R129" s="1172"/>
      <c r="S129" s="1172"/>
    </row>
    <row r="130" spans="1:19" x14ac:dyDescent="0.2">
      <c r="A130" s="1907" t="s">
        <v>150</v>
      </c>
      <c r="B130" s="1908"/>
      <c r="C130" s="1909"/>
      <c r="D130" s="1909"/>
      <c r="E130" s="1927"/>
      <c r="F130" s="1927"/>
      <c r="G130" s="368"/>
      <c r="H130" s="368"/>
      <c r="I130" s="69">
        <f>IF('Input Data'!$H$44&gt;0,0.33,0)</f>
        <v>0</v>
      </c>
      <c r="J130" s="36" t="s">
        <v>1</v>
      </c>
      <c r="K130" s="49">
        <f>IF('Input Data'!$F$32=1,0.05,IF('Input Data'!$F$32=2,Scales!$L$5,IF('Input Data'!$F$32=3,Scales!$L$6,IF('Input Data'!$F$32=4,Scales!$L$7,0.7))))</f>
        <v>0.55000000000000004</v>
      </c>
      <c r="L130" s="42" t="s">
        <v>2</v>
      </c>
      <c r="M130" s="779">
        <f>'Input Data'!$H$44</f>
        <v>0</v>
      </c>
      <c r="N130" s="778" t="s">
        <v>23</v>
      </c>
      <c r="O130" s="779">
        <f>IF('Input Data'!$H$44&gt;0,$Q$116,0)</f>
        <v>0</v>
      </c>
      <c r="P130" s="25"/>
      <c r="Q130" s="753">
        <f>IF('Input Data'!$H$44&gt;0,IF('Input Data'!$D$34="N",(I130*K130*M130/M131*O130),0),0)</f>
        <v>0</v>
      </c>
      <c r="R130" s="1172"/>
      <c r="S130" s="1172"/>
    </row>
    <row r="131" spans="1:19" x14ac:dyDescent="0.2">
      <c r="A131" s="1926"/>
      <c r="B131" s="1927"/>
      <c r="C131" s="1927"/>
      <c r="D131" s="1927"/>
      <c r="E131" s="1927"/>
      <c r="F131" s="1927"/>
      <c r="G131" s="19"/>
      <c r="H131" s="19"/>
      <c r="I131" s="65"/>
      <c r="J131" s="50"/>
      <c r="K131" s="49"/>
      <c r="L131" s="42"/>
      <c r="M131" s="783">
        <f>IF('Input Data'!$H$44&gt;0,'Input Data'!$H$50,0)</f>
        <v>0</v>
      </c>
      <c r="N131" s="781"/>
      <c r="O131" s="784"/>
      <c r="P131" s="67"/>
      <c r="Q131" s="754"/>
      <c r="R131" s="1172"/>
      <c r="S131" s="1172"/>
    </row>
    <row r="132" spans="1:19" ht="9.75" customHeight="1" x14ac:dyDescent="0.2">
      <c r="A132" s="377"/>
      <c r="B132" s="29"/>
      <c r="C132" s="29"/>
      <c r="D132" s="29"/>
      <c r="E132" s="29"/>
      <c r="F132" s="29"/>
      <c r="G132" s="29"/>
      <c r="H132" s="29"/>
      <c r="I132" s="29"/>
      <c r="J132" s="29"/>
      <c r="K132" s="29"/>
      <c r="L132" s="29"/>
      <c r="M132" s="785"/>
      <c r="N132" s="785"/>
      <c r="O132" s="785"/>
      <c r="P132" s="29"/>
      <c r="Q132" s="755"/>
      <c r="R132" s="1172"/>
      <c r="S132" s="1172"/>
    </row>
    <row r="133" spans="1:19" x14ac:dyDescent="0.2">
      <c r="A133" s="1917" t="s">
        <v>119</v>
      </c>
      <c r="B133" s="1918"/>
      <c r="C133" s="1918"/>
      <c r="D133" s="1918"/>
      <c r="E133" s="1920"/>
      <c r="F133" s="378"/>
      <c r="G133" s="65">
        <f>IF('Input Data'!$H$45&gt;0,0.33,0)</f>
        <v>0</v>
      </c>
      <c r="H133" s="132" t="s">
        <v>1</v>
      </c>
      <c r="I133" s="65">
        <f>IF('Input Data'!$H$45&gt;0,1.25,0)</f>
        <v>0</v>
      </c>
      <c r="J133" s="36" t="s">
        <v>1</v>
      </c>
      <c r="K133" s="49">
        <f>IF('Input Data'!$F$32=1,0.05,IF('Input Data'!$F$32=2,Scales!$L$5,IF('Input Data'!$F$32=3,Scales!$L$6,IF('Input Data'!$F$32=4,Scales!$L$7,0.7))))</f>
        <v>0.55000000000000004</v>
      </c>
      <c r="L133" s="42" t="s">
        <v>2</v>
      </c>
      <c r="M133" s="779">
        <f>'Input Data'!$H$45</f>
        <v>0</v>
      </c>
      <c r="N133" s="778" t="s">
        <v>23</v>
      </c>
      <c r="O133" s="779">
        <f>IF('Input Data'!$H$45&gt;0,$Q$116,0)</f>
        <v>0</v>
      </c>
      <c r="P133" s="67"/>
      <c r="Q133" s="753">
        <f>IF('Input Data'!$H$45&gt;0,IF('Input Data'!$D$34="N",(G133*I133*K133*M133/M134*O133),0),0)</f>
        <v>0</v>
      </c>
      <c r="R133" s="1172"/>
      <c r="S133" s="1172"/>
    </row>
    <row r="134" spans="1:19" x14ac:dyDescent="0.2">
      <c r="A134" s="1919"/>
      <c r="B134" s="1920"/>
      <c r="C134" s="1920"/>
      <c r="D134" s="1920"/>
      <c r="E134" s="1920"/>
      <c r="F134" s="378"/>
      <c r="G134" s="378"/>
      <c r="H134" s="378"/>
      <c r="I134" s="65"/>
      <c r="J134" s="50"/>
      <c r="K134" s="49"/>
      <c r="L134" s="67"/>
      <c r="M134" s="782">
        <f>IF('Input Data'!$H$45&gt;0,'Input Data'!$H$50,0)</f>
        <v>0</v>
      </c>
      <c r="N134" s="781"/>
      <c r="O134" s="780"/>
      <c r="P134" s="67"/>
      <c r="Q134" s="754"/>
      <c r="R134" s="1172"/>
      <c r="S134" s="1172"/>
    </row>
    <row r="135" spans="1:19" ht="8.25" customHeight="1" x14ac:dyDescent="0.2">
      <c r="A135" s="6"/>
      <c r="B135" s="9"/>
      <c r="C135" s="9"/>
      <c r="D135" s="9"/>
      <c r="E135" s="378"/>
      <c r="F135" s="378"/>
      <c r="G135" s="378"/>
      <c r="H135" s="378"/>
      <c r="I135" s="65"/>
      <c r="J135" s="50"/>
      <c r="K135" s="66"/>
      <c r="L135" s="67"/>
      <c r="M135" s="780"/>
      <c r="N135" s="781"/>
      <c r="O135" s="780"/>
      <c r="P135" s="67"/>
      <c r="Q135" s="754"/>
      <c r="R135" s="1172"/>
      <c r="S135" s="1172"/>
    </row>
    <row r="136" spans="1:19" x14ac:dyDescent="0.2">
      <c r="A136" s="1917" t="s">
        <v>120</v>
      </c>
      <c r="B136" s="1918"/>
      <c r="C136" s="1918"/>
      <c r="D136" s="1918"/>
      <c r="E136" s="1920"/>
      <c r="F136" s="378"/>
      <c r="G136" s="65">
        <f>IF('Input Data'!$H$46&gt;0,0.33,0)</f>
        <v>0</v>
      </c>
      <c r="H136" s="132" t="s">
        <v>1</v>
      </c>
      <c r="I136" s="70">
        <f>IF('Input Data'!$H$46&gt;0,0.25,0)</f>
        <v>0</v>
      </c>
      <c r="J136" s="36" t="s">
        <v>1</v>
      </c>
      <c r="K136" s="49">
        <f>IF('Input Data'!$F$32=1,0.05,IF('Input Data'!$F$32=2,Scales!$L$5,IF('Input Data'!$F$32=3,Scales!$L$6,IF('Input Data'!$F$32=4,Scales!$L$7,0.7))))</f>
        <v>0.55000000000000004</v>
      </c>
      <c r="L136" s="42" t="s">
        <v>2</v>
      </c>
      <c r="M136" s="779">
        <f>'Input Data'!$H$46</f>
        <v>0</v>
      </c>
      <c r="N136" s="778" t="s">
        <v>23</v>
      </c>
      <c r="O136" s="779">
        <f>IF('Input Data'!$H$46&gt;0,$Q$116,0)</f>
        <v>0</v>
      </c>
      <c r="P136" s="67"/>
      <c r="Q136" s="753">
        <f>IF('Input Data'!$H$46&gt;0,IF('Input Data'!$D$34="N",(G136*I136*K136*M136/M137*O136),0),0)</f>
        <v>0</v>
      </c>
      <c r="R136" s="1172"/>
      <c r="S136" s="1172"/>
    </row>
    <row r="137" spans="1:19" x14ac:dyDescent="0.2">
      <c r="A137" s="1919"/>
      <c r="B137" s="1920"/>
      <c r="C137" s="1920"/>
      <c r="D137" s="1920"/>
      <c r="E137" s="1920"/>
      <c r="F137" s="378"/>
      <c r="G137" s="378"/>
      <c r="H137" s="378"/>
      <c r="I137" s="65"/>
      <c r="J137" s="50"/>
      <c r="K137" s="49"/>
      <c r="L137" s="67"/>
      <c r="M137" s="782">
        <f>IF('Input Data'!$H$46&gt;0,'Input Data'!$H$50,0)</f>
        <v>0</v>
      </c>
      <c r="N137" s="781"/>
      <c r="O137" s="780"/>
      <c r="P137" s="67"/>
      <c r="Q137" s="754"/>
      <c r="R137" s="1172"/>
      <c r="S137" s="1172"/>
    </row>
    <row r="138" spans="1:19" ht="7.5" customHeight="1" x14ac:dyDescent="0.2">
      <c r="A138" s="6"/>
      <c r="B138" s="9"/>
      <c r="C138" s="9"/>
      <c r="D138" s="9"/>
      <c r="E138" s="378"/>
      <c r="F138" s="378"/>
      <c r="G138" s="378"/>
      <c r="H138" s="378"/>
      <c r="I138" s="65"/>
      <c r="J138" s="50"/>
      <c r="K138" s="66"/>
      <c r="L138" s="67"/>
      <c r="M138" s="780"/>
      <c r="N138" s="781"/>
      <c r="O138" s="780"/>
      <c r="P138" s="67"/>
      <c r="Q138" s="754"/>
      <c r="R138" s="1172"/>
      <c r="S138" s="1172"/>
    </row>
    <row r="139" spans="1:19" x14ac:dyDescent="0.2">
      <c r="A139" s="1917" t="s">
        <v>106</v>
      </c>
      <c r="B139" s="1918"/>
      <c r="C139" s="1918"/>
      <c r="D139" s="1918"/>
      <c r="E139" s="378"/>
      <c r="F139" s="378"/>
      <c r="G139" s="65">
        <f>IF('Input Data'!$H$47&gt;0,1.25,0)</f>
        <v>0</v>
      </c>
      <c r="H139" s="132" t="s">
        <v>1</v>
      </c>
      <c r="I139" s="70">
        <f>IF('Input Data'!$H$47&gt;0,0.25,0)</f>
        <v>0</v>
      </c>
      <c r="J139" s="36" t="s">
        <v>1</v>
      </c>
      <c r="K139" s="49">
        <f>IF('Input Data'!$F$32=1,0.05,IF('Input Data'!$F$32=2,Scales!$L$5,IF('Input Data'!$F$32=3,Scales!$L$6,IF('Input Data'!$F$32=4,Scales!$L$7,0.7))))</f>
        <v>0.55000000000000004</v>
      </c>
      <c r="L139" s="42" t="s">
        <v>2</v>
      </c>
      <c r="M139" s="779">
        <f>'Input Data'!$H$47</f>
        <v>0</v>
      </c>
      <c r="N139" s="778" t="s">
        <v>23</v>
      </c>
      <c r="O139" s="779">
        <f>IF('Input Data'!$H$47&gt;0,$Q$116,0)</f>
        <v>0</v>
      </c>
      <c r="P139" s="67"/>
      <c r="Q139" s="753">
        <f>IF('Input Data'!$H$47&gt;0,IF('Input Data'!$D$34="N",(G139*I139*K139*M139/M140*O139),0),0)</f>
        <v>0</v>
      </c>
      <c r="R139" s="1172"/>
      <c r="S139" s="1172"/>
    </row>
    <row r="140" spans="1:19" x14ac:dyDescent="0.2">
      <c r="A140" s="1919"/>
      <c r="B140" s="1920"/>
      <c r="C140" s="1920"/>
      <c r="D140" s="1920"/>
      <c r="E140" s="378"/>
      <c r="F140" s="378"/>
      <c r="G140" s="378"/>
      <c r="H140" s="378"/>
      <c r="I140" s="65"/>
      <c r="J140" s="50"/>
      <c r="K140" s="49"/>
      <c r="L140" s="67"/>
      <c r="M140" s="782">
        <f>IF('Input Data'!$H$47&gt;0,'Input Data'!$H$50,0)</f>
        <v>0</v>
      </c>
      <c r="N140" s="781"/>
      <c r="O140" s="780"/>
      <c r="P140" s="67"/>
      <c r="Q140" s="754"/>
      <c r="R140" s="1172"/>
      <c r="S140" s="1172"/>
    </row>
    <row r="141" spans="1:19" ht="9.75" customHeight="1" x14ac:dyDescent="0.2">
      <c r="A141" s="6"/>
      <c r="B141" s="9"/>
      <c r="C141" s="9"/>
      <c r="D141" s="9"/>
      <c r="E141" s="378"/>
      <c r="F141" s="378"/>
      <c r="G141" s="378"/>
      <c r="H141" s="378"/>
      <c r="I141" s="65"/>
      <c r="J141" s="50"/>
      <c r="K141" s="66"/>
      <c r="L141" s="67"/>
      <c r="M141" s="780"/>
      <c r="N141" s="781"/>
      <c r="O141" s="780"/>
      <c r="P141" s="67"/>
      <c r="Q141" s="754"/>
      <c r="R141" s="1172"/>
      <c r="S141" s="1172"/>
    </row>
    <row r="142" spans="1:19" x14ac:dyDescent="0.2">
      <c r="A142" s="1917" t="s">
        <v>121</v>
      </c>
      <c r="B142" s="1918"/>
      <c r="C142" s="1918"/>
      <c r="D142" s="1918"/>
      <c r="E142" s="65">
        <f>IF('Input Data'!$H$48&gt;0,1.25,0)</f>
        <v>0</v>
      </c>
      <c r="F142" s="132" t="s">
        <v>1</v>
      </c>
      <c r="G142" s="65">
        <f>IF('Input Data'!$H$48&gt;0,0.33,0)</f>
        <v>0</v>
      </c>
      <c r="H142" s="132" t="s">
        <v>1</v>
      </c>
      <c r="I142" s="70">
        <f>IF('Input Data'!$H$48&gt;0,0.25,0)</f>
        <v>0</v>
      </c>
      <c r="J142" s="36" t="s">
        <v>1</v>
      </c>
      <c r="K142" s="49">
        <f>IF('Input Data'!$F$32=1,0.05,IF('Input Data'!$F$32=2,Scales!$L$5,IF('Input Data'!$F$32=3,Scales!$L$6,IF('Input Data'!$F$32=4,Scales!$L$7,0.7))))</f>
        <v>0.55000000000000004</v>
      </c>
      <c r="L142" s="42" t="s">
        <v>2</v>
      </c>
      <c r="M142" s="779">
        <f>'Input Data'!$H$48</f>
        <v>0</v>
      </c>
      <c r="N142" s="778" t="s">
        <v>23</v>
      </c>
      <c r="O142" s="779">
        <f>IF('Input Data'!$H$48&gt;0,$Q$116,0)</f>
        <v>0</v>
      </c>
      <c r="P142" s="67"/>
      <c r="Q142" s="753">
        <f>IF('Input Data'!$H$48&gt;0,IF('Input Data'!$D$34="N",(E142*G142*I142*K142*M142/M143*O142),0),0)</f>
        <v>0</v>
      </c>
      <c r="R142" s="1172"/>
      <c r="S142" s="1172"/>
    </row>
    <row r="143" spans="1:19" ht="22.5" customHeight="1" x14ac:dyDescent="0.2">
      <c r="A143" s="1919"/>
      <c r="B143" s="1920"/>
      <c r="C143" s="1920"/>
      <c r="D143" s="1920"/>
      <c r="E143" s="376"/>
      <c r="F143" s="376"/>
      <c r="G143" s="376"/>
      <c r="H143" s="376"/>
      <c r="I143" s="65"/>
      <c r="J143" s="50"/>
      <c r="K143" s="49"/>
      <c r="L143" s="67"/>
      <c r="M143" s="782">
        <f>IF('Input Data'!$H$48&gt;0,'Input Data'!$H$50,0)</f>
        <v>0</v>
      </c>
      <c r="N143" s="781"/>
      <c r="O143" s="780"/>
      <c r="P143" s="67"/>
      <c r="Q143" s="756"/>
      <c r="R143" s="1172"/>
      <c r="S143" s="1172"/>
    </row>
    <row r="144" spans="1:19" x14ac:dyDescent="0.2">
      <c r="A144" s="5"/>
      <c r="B144" s="376"/>
      <c r="C144" s="376"/>
      <c r="D144" s="376"/>
      <c r="E144" s="376"/>
      <c r="F144" s="376"/>
      <c r="G144" s="376"/>
      <c r="H144" s="376"/>
      <c r="I144" s="65"/>
      <c r="J144" s="50"/>
      <c r="K144" s="49"/>
      <c r="L144" s="67"/>
      <c r="M144" s="67"/>
      <c r="N144" s="68"/>
      <c r="O144" s="135" t="s">
        <v>139</v>
      </c>
      <c r="P144" s="67"/>
      <c r="Q144" s="757">
        <f>IF(Q19=0,0,SUM(Q121:Q143))</f>
        <v>0</v>
      </c>
      <c r="R144" s="1172"/>
      <c r="S144" s="1172"/>
    </row>
    <row r="145" spans="1:19" ht="15.75" thickBot="1" x14ac:dyDescent="0.25">
      <c r="A145" s="63"/>
      <c r="B145" s="64"/>
      <c r="C145" s="19"/>
      <c r="D145" s="23"/>
      <c r="E145" s="29"/>
      <c r="F145" s="19"/>
      <c r="G145" s="19"/>
      <c r="H145" s="19"/>
      <c r="I145" s="65"/>
      <c r="J145" s="50"/>
      <c r="K145" s="66"/>
      <c r="L145" s="67"/>
      <c r="M145" s="67"/>
      <c r="N145" s="68"/>
      <c r="O145" s="67"/>
      <c r="P145" s="67"/>
      <c r="Q145" s="758"/>
      <c r="R145" s="1172"/>
      <c r="S145" s="1172"/>
    </row>
    <row r="146" spans="1:19" ht="11.25" customHeight="1" x14ac:dyDescent="0.2">
      <c r="A146" s="1915"/>
      <c r="B146" s="1916"/>
      <c r="C146" s="1916"/>
      <c r="D146" s="1916"/>
      <c r="E146" s="1916"/>
      <c r="F146" s="1916"/>
      <c r="G146" s="1916"/>
      <c r="H146" s="1916"/>
      <c r="I146" s="1916"/>
      <c r="J146" s="1916"/>
      <c r="K146" s="1916"/>
      <c r="L146" s="428"/>
      <c r="M146" s="428"/>
      <c r="N146" s="280"/>
      <c r="O146" s="281"/>
      <c r="P146" s="279"/>
      <c r="Q146" s="759"/>
      <c r="R146" s="1172"/>
      <c r="S146" s="1172"/>
    </row>
    <row r="147" spans="1:19" x14ac:dyDescent="0.2">
      <c r="A147" s="446" t="s">
        <v>109</v>
      </c>
      <c r="B147" s="19"/>
      <c r="C147" s="49"/>
      <c r="D147" s="19"/>
      <c r="E147" s="19"/>
      <c r="F147" s="19"/>
      <c r="G147" s="19"/>
      <c r="H147" s="19"/>
      <c r="I147" s="29"/>
      <c r="J147" s="36"/>
      <c r="K147" s="49">
        <f>IF('Input Data'!$F$32=1,0.05,IF('Input Data'!$F$32=2,Scales!$L$5,IF('Input Data'!$F$32=3,Scales!$L$6,IF('Input Data'!$F$32=4,Scales!$L$7,0.7))))</f>
        <v>0.55000000000000004</v>
      </c>
      <c r="L147" s="42" t="s">
        <v>2</v>
      </c>
      <c r="M147" s="786">
        <f>IF('Input Data'!$H$52&gt;0,'Input Data'!H$52,0)</f>
        <v>0</v>
      </c>
      <c r="N147" s="778" t="s">
        <v>23</v>
      </c>
      <c r="O147" s="779">
        <f>$Q$118</f>
        <v>0</v>
      </c>
      <c r="P147" s="46"/>
      <c r="Q147" s="760">
        <f>IF('Input Data'!D34="Y",0,IF(J20=0,0,K147*M147/M148*O147))</f>
        <v>0</v>
      </c>
      <c r="R147" s="1172"/>
      <c r="S147" s="1172"/>
    </row>
    <row r="148" spans="1:19" x14ac:dyDescent="0.2">
      <c r="A148" s="44"/>
      <c r="B148" s="19"/>
      <c r="C148" s="19"/>
      <c r="D148" s="19"/>
      <c r="E148" s="19"/>
      <c r="F148" s="19"/>
      <c r="G148" s="19"/>
      <c r="H148" s="19"/>
      <c r="I148" s="29"/>
      <c r="J148" s="36"/>
      <c r="K148" s="49"/>
      <c r="L148" s="42"/>
      <c r="M148" s="779">
        <f>IF('Input Data'!$H$52&gt;0,'Input Data'!H$52,0)</f>
        <v>0</v>
      </c>
      <c r="N148" s="778"/>
      <c r="O148" s="779"/>
      <c r="P148" s="46"/>
      <c r="Q148" s="761"/>
      <c r="R148" s="1172"/>
      <c r="S148" s="1172"/>
    </row>
    <row r="149" spans="1:19" ht="7.5" customHeight="1" thickBot="1" x14ac:dyDescent="0.25">
      <c r="A149" s="123"/>
      <c r="B149" s="12"/>
      <c r="C149" s="85"/>
      <c r="D149" s="85"/>
      <c r="E149" s="85"/>
      <c r="F149" s="85"/>
      <c r="G149" s="85"/>
      <c r="H149" s="85"/>
      <c r="I149" s="133"/>
      <c r="J149" s="84"/>
      <c r="K149" s="86"/>
      <c r="L149" s="13"/>
      <c r="M149" s="13"/>
      <c r="N149" s="79"/>
      <c r="O149" s="13"/>
      <c r="P149" s="13"/>
      <c r="Q149" s="762"/>
      <c r="R149" s="1172"/>
      <c r="S149" s="1172"/>
    </row>
    <row r="150" spans="1:19" ht="9" customHeight="1" x14ac:dyDescent="0.2">
      <c r="A150" s="63"/>
      <c r="B150" s="64"/>
      <c r="C150" s="19"/>
      <c r="D150" s="19"/>
      <c r="E150" s="19"/>
      <c r="F150" s="19"/>
      <c r="G150" s="19"/>
      <c r="H150" s="19"/>
      <c r="I150" s="65"/>
      <c r="J150" s="50"/>
      <c r="K150" s="66"/>
      <c r="L150" s="67"/>
      <c r="M150" s="67"/>
      <c r="N150" s="68"/>
      <c r="O150" s="67"/>
      <c r="P150" s="67"/>
      <c r="Q150" s="746"/>
      <c r="R150" s="1172"/>
      <c r="S150" s="1172"/>
    </row>
    <row r="151" spans="1:19" x14ac:dyDescent="0.2">
      <c r="A151" s="16" t="s">
        <v>173</v>
      </c>
      <c r="B151" s="64"/>
      <c r="C151" s="19"/>
      <c r="D151" s="19"/>
      <c r="E151" s="19"/>
      <c r="F151" s="19"/>
      <c r="G151" s="19"/>
      <c r="H151" s="19"/>
      <c r="I151" s="1439">
        <f>IF('Input Data'!$F$32=1,1,IF('Input Data'!$F$32&lt;5,'Input Data'!$D$33,1))</f>
        <v>1</v>
      </c>
      <c r="J151" s="1440" t="s">
        <v>23</v>
      </c>
      <c r="K151" s="66">
        <f>IF('Input Data'!$E$36="y",0.01,0)</f>
        <v>0</v>
      </c>
      <c r="L151" s="40" t="s">
        <v>1</v>
      </c>
      <c r="M151" s="49">
        <f>IF('Input Data'!$F$32=1,0.05,IF('Input Data'!$F$32=2,Scales!$L$5,IF('Input Data'!$F$32=3,Scales!$L$6,IF('Input Data'!$F$32=4,Scales!$L$7,0.7))))</f>
        <v>0.55000000000000004</v>
      </c>
      <c r="N151" s="40" t="s">
        <v>2</v>
      </c>
      <c r="O151" s="780">
        <f>IF('Input Data'!D34="N",IF('Input Data'!E36="y",$Q$20,0),0)</f>
        <v>0</v>
      </c>
      <c r="P151" s="42" t="s">
        <v>3</v>
      </c>
      <c r="Q151" s="750">
        <f>IF('Input Data'!$D$36="Y",0,IF($Q$20=0,0,(I151*K151*M151*O151)))</f>
        <v>0</v>
      </c>
      <c r="R151" s="1172"/>
      <c r="S151" s="1172"/>
    </row>
    <row r="152" spans="1:19" ht="15.75" thickBot="1" x14ac:dyDescent="0.25">
      <c r="A152" s="11"/>
      <c r="B152" s="12"/>
      <c r="C152" s="133"/>
      <c r="D152" s="134"/>
      <c r="E152" s="134"/>
      <c r="F152" s="134"/>
      <c r="G152" s="134"/>
      <c r="H152" s="134"/>
      <c r="I152" s="164"/>
      <c r="J152" s="165"/>
      <c r="K152" s="13"/>
      <c r="L152" s="166"/>
      <c r="M152" s="13"/>
      <c r="N152" s="79"/>
      <c r="O152" s="787"/>
      <c r="P152" s="80"/>
      <c r="Q152" s="762"/>
      <c r="R152" s="1172"/>
      <c r="S152" s="1172"/>
    </row>
    <row r="153" spans="1:19" x14ac:dyDescent="0.2">
      <c r="A153" s="17"/>
      <c r="B153" s="64"/>
      <c r="C153" s="65"/>
      <c r="D153" s="36"/>
      <c r="E153" s="36"/>
      <c r="F153" s="36"/>
      <c r="G153" s="36"/>
      <c r="H153" s="36"/>
      <c r="I153" s="37"/>
      <c r="J153" s="38"/>
      <c r="K153" s="67"/>
      <c r="L153" s="445"/>
      <c r="M153" s="67"/>
      <c r="N153" s="68"/>
      <c r="O153" s="780"/>
      <c r="P153" s="42"/>
      <c r="Q153" s="746"/>
      <c r="R153" s="1172"/>
      <c r="S153" s="1172"/>
    </row>
    <row r="154" spans="1:19" x14ac:dyDescent="0.2">
      <c r="A154" s="448" t="s">
        <v>286</v>
      </c>
      <c r="B154" s="64"/>
      <c r="C154" s="65"/>
      <c r="D154" s="36"/>
      <c r="E154" s="36"/>
      <c r="F154" s="36"/>
      <c r="G154" s="36"/>
      <c r="H154" s="36"/>
      <c r="I154" s="37"/>
      <c r="J154" s="38"/>
      <c r="K154" s="67"/>
      <c r="L154" s="445"/>
      <c r="M154" s="796">
        <v>1.25</v>
      </c>
      <c r="N154" s="68" t="s">
        <v>23</v>
      </c>
      <c r="O154" s="780">
        <f>'WTW Calculations'!S46</f>
        <v>0</v>
      </c>
      <c r="P154" s="42"/>
      <c r="Q154" s="763">
        <f>M154*O154</f>
        <v>0</v>
      </c>
      <c r="R154" s="1172"/>
      <c r="S154" s="1172"/>
    </row>
    <row r="155" spans="1:19" ht="15.75" thickBot="1" x14ac:dyDescent="0.25">
      <c r="A155" s="11"/>
      <c r="B155" s="12"/>
      <c r="C155" s="133"/>
      <c r="D155" s="134"/>
      <c r="E155" s="134"/>
      <c r="F155" s="134"/>
      <c r="G155" s="134"/>
      <c r="H155" s="134"/>
      <c r="I155" s="164"/>
      <c r="J155" s="165"/>
      <c r="K155" s="13"/>
      <c r="L155" s="166"/>
      <c r="M155" s="13"/>
      <c r="N155" s="79"/>
      <c r="O155" s="13"/>
      <c r="P155" s="80"/>
      <c r="Q155" s="762"/>
      <c r="R155" s="1172"/>
      <c r="S155" s="1172"/>
    </row>
    <row r="156" spans="1:19" ht="16.5" thickBot="1" x14ac:dyDescent="0.25">
      <c r="A156" s="416"/>
      <c r="B156" s="417"/>
      <c r="C156" s="418"/>
      <c r="D156" s="417"/>
      <c r="E156" s="417"/>
      <c r="F156" s="417"/>
      <c r="G156" s="419"/>
      <c r="H156" s="417"/>
      <c r="I156" s="417"/>
      <c r="J156" s="417"/>
      <c r="K156" s="420"/>
      <c r="L156" s="420"/>
      <c r="M156" s="418"/>
      <c r="N156" s="418"/>
      <c r="O156" s="418"/>
      <c r="P156" s="415" t="s">
        <v>273</v>
      </c>
      <c r="Q156" s="764">
        <f>IF(Q19=0,0,Q144+Q147+Q151+Q154)</f>
        <v>0</v>
      </c>
      <c r="R156" s="1172"/>
      <c r="S156" s="1442">
        <f>SUM(Q144:Q154)</f>
        <v>0</v>
      </c>
    </row>
    <row r="157" spans="1:19" ht="18.75" thickTop="1" x14ac:dyDescent="0.2">
      <c r="A157" s="82" t="s">
        <v>272</v>
      </c>
      <c r="B157" s="64"/>
      <c r="C157" s="64"/>
      <c r="D157" s="64"/>
      <c r="E157" s="64"/>
      <c r="F157" s="64"/>
      <c r="G157" s="64"/>
      <c r="H157" s="64"/>
      <c r="I157" s="64"/>
      <c r="J157" s="64"/>
      <c r="K157" s="64"/>
      <c r="L157" s="64"/>
      <c r="M157" s="64"/>
      <c r="N157" s="50"/>
      <c r="O157" s="83"/>
      <c r="P157" s="64"/>
      <c r="Q157" s="746"/>
      <c r="R157" s="1172"/>
      <c r="S157" s="1172"/>
    </row>
    <row r="158" spans="1:19" x14ac:dyDescent="0.2">
      <c r="A158" s="1914" t="s">
        <v>148</v>
      </c>
      <c r="B158" s="1909"/>
      <c r="C158" s="1909"/>
      <c r="D158" s="36"/>
      <c r="E158" s="36"/>
      <c r="F158" s="36"/>
      <c r="G158" s="36"/>
      <c r="H158" s="36"/>
      <c r="I158" s="19"/>
      <c r="J158" s="19"/>
      <c r="K158" s="49">
        <f>IF('Input Data'!$F$32&lt;5,0,IF('Input Data'!$F$32=5,0.25,IF('Input Data'!$F$32=6,0.3)))</f>
        <v>0</v>
      </c>
      <c r="L158" s="38" t="s">
        <v>2</v>
      </c>
      <c r="M158" s="788">
        <f>'Input Data'!H56</f>
        <v>0</v>
      </c>
      <c r="N158" s="778" t="s">
        <v>23</v>
      </c>
      <c r="O158" s="788">
        <f>IF('Input Data'!$F$32&lt;4,0,$Q$116)</f>
        <v>0</v>
      </c>
      <c r="P158" s="25"/>
      <c r="Q158" s="753">
        <f>IF('Input Data'!$F$32&gt;4,IF('Input Data'!$H$56&gt;0,(K158*M158/M159*O158),0),0)</f>
        <v>0</v>
      </c>
      <c r="R158" s="1172"/>
      <c r="S158" s="1172"/>
    </row>
    <row r="159" spans="1:19" x14ac:dyDescent="0.2">
      <c r="A159" s="1910"/>
      <c r="B159" s="1909"/>
      <c r="C159" s="1909"/>
      <c r="D159" s="45"/>
      <c r="E159" s="45"/>
      <c r="F159" s="45"/>
      <c r="G159" s="45"/>
      <c r="H159" s="45"/>
      <c r="I159" s="19"/>
      <c r="J159" s="19"/>
      <c r="K159" s="49"/>
      <c r="L159" s="20"/>
      <c r="M159" s="789">
        <f>IF('Input Data'!F$32&gt;4,IF('Input Data'!$H$56&gt;0,'Input Data'!$H$50,0),0)</f>
        <v>0</v>
      </c>
      <c r="N159" s="778"/>
      <c r="O159" s="779"/>
      <c r="P159" s="25"/>
      <c r="Q159" s="761"/>
      <c r="R159" s="1172"/>
      <c r="S159" s="1172"/>
    </row>
    <row r="160" spans="1:19" x14ac:dyDescent="0.2">
      <c r="A160" s="44"/>
      <c r="B160" s="19"/>
      <c r="C160" s="20"/>
      <c r="D160" s="45"/>
      <c r="E160" s="45"/>
      <c r="F160" s="45"/>
      <c r="G160" s="45"/>
      <c r="H160" s="45"/>
      <c r="I160" s="19"/>
      <c r="J160" s="19"/>
      <c r="K160" s="49"/>
      <c r="L160" s="20"/>
      <c r="M160" s="790"/>
      <c r="N160" s="778"/>
      <c r="O160" s="779"/>
      <c r="P160" s="25"/>
      <c r="Q160" s="761"/>
      <c r="R160" s="1172"/>
      <c r="S160" s="1172"/>
    </row>
    <row r="161" spans="1:19" x14ac:dyDescent="0.2">
      <c r="A161" s="1907" t="s">
        <v>103</v>
      </c>
      <c r="B161" s="1908"/>
      <c r="C161" s="1909"/>
      <c r="D161" s="36"/>
      <c r="E161" s="36"/>
      <c r="F161" s="36"/>
      <c r="G161" s="36"/>
      <c r="H161" s="36"/>
      <c r="I161" s="69">
        <f>IF('Input Data'!$H$57&gt;0,1.25,0)</f>
        <v>0</v>
      </c>
      <c r="J161" s="45" t="s">
        <v>23</v>
      </c>
      <c r="K161" s="49">
        <f>IF('Input Data'!$F$32&lt;5,0,IF('Input Data'!$F$32=5,0.25,IF('Input Data'!$F$32=6,0.3)))</f>
        <v>0</v>
      </c>
      <c r="L161" s="38" t="s">
        <v>2</v>
      </c>
      <c r="M161" s="788">
        <f>'Input Data'!H57</f>
        <v>0</v>
      </c>
      <c r="N161" s="778" t="s">
        <v>23</v>
      </c>
      <c r="O161" s="788">
        <f>IF('Input Data'!$F$32&lt;4,0,$Q$116)</f>
        <v>0</v>
      </c>
      <c r="P161" s="42"/>
      <c r="Q161" s="753">
        <f>IF('Input Data'!$F$32&gt;4,IF('Input Data'!$H$57&gt;0,(I161*K161*M161/M162*O161),0),0)</f>
        <v>0</v>
      </c>
      <c r="R161" s="1172"/>
      <c r="S161" s="1172"/>
    </row>
    <row r="162" spans="1:19" x14ac:dyDescent="0.2">
      <c r="A162" s="1910"/>
      <c r="B162" s="1909"/>
      <c r="C162" s="1909"/>
      <c r="D162" s="50"/>
      <c r="E162" s="50"/>
      <c r="F162" s="50"/>
      <c r="G162" s="50"/>
      <c r="H162" s="50"/>
      <c r="I162" s="19"/>
      <c r="J162" s="19"/>
      <c r="K162" s="66"/>
      <c r="L162" s="64"/>
      <c r="M162" s="789">
        <f>IF('Input Data'!F$32&gt;4,IF('Input Data'!$H$57&gt;0,'Input Data'!$H$50,0),0)</f>
        <v>0</v>
      </c>
      <c r="N162" s="781"/>
      <c r="O162" s="780"/>
      <c r="P162" s="67"/>
      <c r="Q162" s="746"/>
      <c r="R162" s="1172"/>
      <c r="S162" s="1172"/>
    </row>
    <row r="163" spans="1:19" x14ac:dyDescent="0.2">
      <c r="A163" s="380"/>
      <c r="B163" s="368"/>
      <c r="C163" s="368"/>
      <c r="D163" s="50"/>
      <c r="E163" s="50"/>
      <c r="F163" s="50"/>
      <c r="G163" s="50"/>
      <c r="H163" s="50"/>
      <c r="I163" s="19"/>
      <c r="J163" s="19"/>
      <c r="K163" s="66"/>
      <c r="L163" s="64"/>
      <c r="M163" s="46"/>
      <c r="N163" s="68"/>
      <c r="O163" s="135" t="s">
        <v>139</v>
      </c>
      <c r="P163" s="67"/>
      <c r="Q163" s="765">
        <f>IF(Q19=0,0,SUM(Q158:Q162))</f>
        <v>0</v>
      </c>
      <c r="R163" s="1172"/>
      <c r="S163" s="1442"/>
    </row>
    <row r="164" spans="1:19" ht="15.75" thickBot="1" x14ac:dyDescent="0.25">
      <c r="A164" s="381"/>
      <c r="B164" s="382"/>
      <c r="C164" s="382"/>
      <c r="D164" s="84"/>
      <c r="E164" s="84"/>
      <c r="F164" s="84"/>
      <c r="G164" s="84"/>
      <c r="H164" s="84"/>
      <c r="I164" s="85"/>
      <c r="J164" s="85"/>
      <c r="K164" s="86"/>
      <c r="L164" s="12"/>
      <c r="M164" s="87"/>
      <c r="N164" s="79"/>
      <c r="O164" s="13"/>
      <c r="P164" s="13"/>
      <c r="Q164" s="762"/>
      <c r="R164" s="1172"/>
      <c r="S164" s="1172"/>
    </row>
    <row r="165" spans="1:19" ht="9" customHeight="1" x14ac:dyDescent="0.2">
      <c r="A165" s="431"/>
      <c r="B165" s="432"/>
      <c r="C165" s="432"/>
      <c r="D165" s="432"/>
      <c r="E165" s="432"/>
      <c r="F165" s="432"/>
      <c r="G165" s="432"/>
      <c r="H165" s="432"/>
      <c r="I165" s="432"/>
      <c r="J165" s="432"/>
      <c r="K165" s="432"/>
      <c r="L165" s="433"/>
      <c r="M165" s="433"/>
      <c r="N165" s="40"/>
      <c r="O165" s="46"/>
      <c r="P165" s="42"/>
      <c r="Q165" s="748"/>
      <c r="R165" s="1172"/>
      <c r="S165" s="1172"/>
    </row>
    <row r="166" spans="1:19" x14ac:dyDescent="0.2">
      <c r="A166" s="456" t="s">
        <v>109</v>
      </c>
      <c r="B166" s="19"/>
      <c r="C166" s="49"/>
      <c r="D166" s="19"/>
      <c r="E166" s="19"/>
      <c r="F166" s="19"/>
      <c r="G166" s="19"/>
      <c r="H166" s="19"/>
      <c r="I166" s="29"/>
      <c r="J166" s="36"/>
      <c r="K166" s="49">
        <f>IF('Input Data'!$F$32&lt;5,0,IF('Input Data'!$F$32=5,0.25,IF('Input Data'!$F$32=6,0.3)))</f>
        <v>0</v>
      </c>
      <c r="L166" s="42" t="s">
        <v>2</v>
      </c>
      <c r="M166" s="788">
        <f>IF('Input Data'!$F$32&gt;3,'Input Data'!$H$60,0)</f>
        <v>0</v>
      </c>
      <c r="N166" s="778" t="s">
        <v>23</v>
      </c>
      <c r="O166" s="779">
        <f>$Q$118</f>
        <v>0</v>
      </c>
      <c r="P166" s="46"/>
      <c r="Q166" s="766">
        <f>IF('Input Data'!$F$32&gt;4,IF('Input Data'!H60&gt;0,(K166*M166/M167*O166),0),0)</f>
        <v>0</v>
      </c>
      <c r="R166" s="1172"/>
      <c r="S166" s="1172"/>
    </row>
    <row r="167" spans="1:19" ht="18" x14ac:dyDescent="0.2">
      <c r="A167" s="44"/>
      <c r="B167" s="19"/>
      <c r="C167" s="19"/>
      <c r="D167" s="19"/>
      <c r="E167" s="19"/>
      <c r="F167" s="131"/>
      <c r="G167" s="19"/>
      <c r="H167" s="19"/>
      <c r="I167" s="29"/>
      <c r="J167" s="36"/>
      <c r="K167" s="49"/>
      <c r="L167" s="42"/>
      <c r="M167" s="777">
        <f>IF('Input Data'!$F$32&gt;4,'Input Data'!$H$52,0)</f>
        <v>0</v>
      </c>
      <c r="N167" s="778"/>
      <c r="O167" s="779"/>
      <c r="P167" s="46"/>
      <c r="Q167" s="761"/>
      <c r="R167" s="1172"/>
      <c r="S167" s="1172"/>
    </row>
    <row r="168" spans="1:19" ht="9.75" customHeight="1" thickBot="1" x14ac:dyDescent="0.25">
      <c r="A168" s="123"/>
      <c r="B168" s="12"/>
      <c r="C168" s="85"/>
      <c r="D168" s="85"/>
      <c r="E168" s="85"/>
      <c r="F168" s="85"/>
      <c r="G168" s="85"/>
      <c r="H168" s="85"/>
      <c r="I168" s="133"/>
      <c r="J168" s="84"/>
      <c r="K168" s="86"/>
      <c r="L168" s="13"/>
      <c r="M168" s="13"/>
      <c r="N168" s="79"/>
      <c r="O168" s="13"/>
      <c r="P168" s="13"/>
      <c r="Q168" s="762"/>
      <c r="R168" s="1172"/>
      <c r="S168" s="1172"/>
    </row>
    <row r="169" spans="1:19" x14ac:dyDescent="0.2">
      <c r="A169" s="63"/>
      <c r="B169" s="64"/>
      <c r="C169" s="19"/>
      <c r="D169" s="19"/>
      <c r="E169" s="19"/>
      <c r="F169" s="19"/>
      <c r="G169" s="19"/>
      <c r="H169" s="19"/>
      <c r="I169" s="65"/>
      <c r="J169" s="50"/>
      <c r="K169" s="66"/>
      <c r="L169" s="67"/>
      <c r="M169" s="67"/>
      <c r="N169" s="68"/>
      <c r="O169" s="67"/>
      <c r="P169" s="67"/>
      <c r="Q169" s="746"/>
      <c r="R169" s="1172"/>
      <c r="S169" s="1172"/>
    </row>
    <row r="170" spans="1:19" ht="15.75" x14ac:dyDescent="0.2">
      <c r="A170" s="406" t="s">
        <v>173</v>
      </c>
      <c r="B170" s="64"/>
      <c r="C170" s="19"/>
      <c r="D170" s="19"/>
      <c r="E170" s="19"/>
      <c r="F170" s="19"/>
      <c r="G170" s="19"/>
      <c r="H170" s="19"/>
      <c r="I170" s="1632">
        <f>IF('Input Data'!$E$36="Y",IF('Input Data'!$F$32&gt;4,'Input Data'!H61/'Input Data'!H53,0),0)</f>
        <v>0</v>
      </c>
      <c r="J170" s="1441" t="s">
        <v>23</v>
      </c>
      <c r="K170" s="66">
        <f>IF('Input Data'!$E$36="y",0.01,0)</f>
        <v>0</v>
      </c>
      <c r="L170" s="36" t="s">
        <v>1</v>
      </c>
      <c r="M170" s="49">
        <f>IF('Input Data'!$F$32&lt;5,0,IF('Input Data'!$F$32=5,0.25,IF('Input Data'!$F$32=6,0.3)))</f>
        <v>0</v>
      </c>
      <c r="N170" s="40" t="s">
        <v>2</v>
      </c>
      <c r="O170" s="780">
        <f>IF('Input Data'!F32&lt;5,0,IF('Input Data'!E36="y",'Input Data'!H61,0))</f>
        <v>0</v>
      </c>
      <c r="P170" s="42" t="s">
        <v>3</v>
      </c>
      <c r="Q170" s="758">
        <f>IF('Input Data'!E36="Y",(I170*K170*M170*O170),0)</f>
        <v>0</v>
      </c>
      <c r="R170" s="1172"/>
      <c r="S170" s="1172"/>
    </row>
    <row r="171" spans="1:19" ht="15.75" thickBot="1" x14ac:dyDescent="0.25">
      <c r="A171" s="11"/>
      <c r="B171" s="12"/>
      <c r="C171" s="85"/>
      <c r="D171" s="85"/>
      <c r="E171" s="85"/>
      <c r="F171" s="85"/>
      <c r="G171" s="85"/>
      <c r="H171" s="85"/>
      <c r="I171" s="85"/>
      <c r="J171" s="85"/>
      <c r="K171" s="86"/>
      <c r="L171" s="134"/>
      <c r="M171" s="403"/>
      <c r="N171" s="404"/>
      <c r="O171" s="791"/>
      <c r="P171" s="80"/>
      <c r="Q171" s="762"/>
      <c r="R171" s="1172"/>
      <c r="S171" s="1172"/>
    </row>
    <row r="172" spans="1:19" x14ac:dyDescent="0.2">
      <c r="A172" s="407"/>
      <c r="B172" s="282"/>
      <c r="C172" s="275"/>
      <c r="D172" s="275"/>
      <c r="E172" s="275"/>
      <c r="F172" s="275"/>
      <c r="G172" s="275"/>
      <c r="H172" s="275"/>
      <c r="I172" s="275"/>
      <c r="J172" s="275"/>
      <c r="K172" s="447"/>
      <c r="L172" s="277"/>
      <c r="M172" s="278"/>
      <c r="N172" s="280"/>
      <c r="O172" s="792"/>
      <c r="P172" s="279"/>
      <c r="Q172" s="767"/>
      <c r="R172" s="1172"/>
      <c r="S172" s="1172"/>
    </row>
    <row r="173" spans="1:19" x14ac:dyDescent="0.2">
      <c r="A173" s="455" t="s">
        <v>286</v>
      </c>
      <c r="B173" s="64"/>
      <c r="C173" s="19"/>
      <c r="D173" s="19"/>
      <c r="E173" s="19"/>
      <c r="F173" s="19"/>
      <c r="G173" s="19"/>
      <c r="H173" s="19"/>
      <c r="I173" s="19"/>
      <c r="J173" s="19"/>
      <c r="K173" s="66"/>
      <c r="L173" s="36"/>
      <c r="M173" s="49">
        <f>IF(O173&gt;0,1.25,0)</f>
        <v>0</v>
      </c>
      <c r="N173" s="40" t="s">
        <v>23</v>
      </c>
      <c r="O173" s="793">
        <f>'WTW Calculations'!S55</f>
        <v>0</v>
      </c>
      <c r="P173" s="42"/>
      <c r="Q173" s="768">
        <f>O173*M173</f>
        <v>0</v>
      </c>
      <c r="R173" s="1172"/>
      <c r="S173" s="1172"/>
    </row>
    <row r="174" spans="1:19" ht="15.75" thickBot="1" x14ac:dyDescent="0.25">
      <c r="A174" s="11"/>
      <c r="B174" s="12"/>
      <c r="C174" s="85"/>
      <c r="D174" s="85"/>
      <c r="E174" s="85"/>
      <c r="F174" s="85"/>
      <c r="G174" s="85"/>
      <c r="H174" s="85"/>
      <c r="I174" s="85"/>
      <c r="J174" s="85"/>
      <c r="K174" s="86"/>
      <c r="L174" s="134"/>
      <c r="M174" s="403"/>
      <c r="N174" s="404"/>
      <c r="O174" s="791"/>
      <c r="P174" s="80"/>
      <c r="Q174" s="762"/>
      <c r="R174" s="1172"/>
      <c r="S174" s="1172"/>
    </row>
    <row r="175" spans="1:19" ht="18.75" thickBot="1" x14ac:dyDescent="0.25">
      <c r="A175" s="421"/>
      <c r="B175" s="422"/>
      <c r="C175" s="32"/>
      <c r="D175" s="32"/>
      <c r="E175" s="423"/>
      <c r="F175" s="423"/>
      <c r="G175" s="32"/>
      <c r="H175" s="424"/>
      <c r="I175" s="28"/>
      <c r="J175" s="425"/>
      <c r="K175" s="353"/>
      <c r="L175" s="15"/>
      <c r="M175" s="76"/>
      <c r="N175" s="76"/>
      <c r="O175" s="794" t="s">
        <v>274</v>
      </c>
      <c r="P175" s="76"/>
      <c r="Q175" s="764">
        <f>IF(16=0,0,(Q163+Q166+Q170+Q173))</f>
        <v>0</v>
      </c>
      <c r="R175" s="1172"/>
      <c r="S175" s="1442">
        <f>Q175</f>
        <v>0</v>
      </c>
    </row>
    <row r="176" spans="1:19" ht="15.75" thickTop="1" x14ac:dyDescent="0.2">
      <c r="A176" s="407"/>
      <c r="B176" s="282"/>
      <c r="C176" s="275"/>
      <c r="D176" s="275"/>
      <c r="E176" s="275"/>
      <c r="F176" s="275"/>
      <c r="G176" s="275"/>
      <c r="H176" s="275"/>
      <c r="I176" s="275"/>
      <c r="J176" s="275"/>
      <c r="K176" s="408"/>
      <c r="L176" s="277"/>
      <c r="M176" s="78"/>
      <c r="N176" s="279"/>
      <c r="O176" s="795"/>
      <c r="P176" s="279"/>
      <c r="Q176" s="767"/>
      <c r="R176" s="1172"/>
      <c r="S176" s="1172"/>
    </row>
    <row r="177" spans="1:19" ht="18" x14ac:dyDescent="0.2">
      <c r="A177" s="409" t="s">
        <v>270</v>
      </c>
      <c r="B177" s="64"/>
      <c r="C177" s="19"/>
      <c r="D177" s="19"/>
      <c r="E177" s="19"/>
      <c r="F177" s="19"/>
      <c r="G177" s="19"/>
      <c r="H177" s="19"/>
      <c r="I177" s="1439">
        <f>IF('Input Data'!$F$32=1,1,IF('Input Data'!$F$32&lt;4,'Input Data'!$D$33,IF('Input Data'!F32=5,'Input Data'!H59/'Input Data'!H50,1)))</f>
        <v>1</v>
      </c>
      <c r="J177" s="1441" t="s">
        <v>23</v>
      </c>
      <c r="K177" s="65">
        <f>IF('Input Data'!$E$37="y",0.07,0)</f>
        <v>0</v>
      </c>
      <c r="L177" s="36" t="s">
        <v>23</v>
      </c>
      <c r="M177" s="49">
        <f>IF('Input Data'!$F$32=1,0.05,IF('Input Data'!$F$32=2,0.25,IF('Input Data'!$F$32=3,0.55,IF('Input Data'!$F$32=4,0.7,IF('Input Data'!$F$32=5,0.95,1)))))</f>
        <v>0.55000000000000004</v>
      </c>
      <c r="N177" s="40" t="s">
        <v>2</v>
      </c>
      <c r="O177" s="780">
        <f>Q119</f>
        <v>0</v>
      </c>
      <c r="P177" s="42" t="s">
        <v>3</v>
      </c>
      <c r="Q177" s="758">
        <f>IF('Input Data'!E37="Y",(I177*K177*M177*O177),0)</f>
        <v>0</v>
      </c>
      <c r="R177" s="1172"/>
      <c r="S177" s="1442">
        <f>Q177</f>
        <v>0</v>
      </c>
    </row>
    <row r="178" spans="1:19" ht="15.75" thickBot="1" x14ac:dyDescent="0.25">
      <c r="A178" s="11"/>
      <c r="B178" s="12"/>
      <c r="C178" s="85"/>
      <c r="D178" s="85"/>
      <c r="E178" s="85"/>
      <c r="F178" s="85"/>
      <c r="G178" s="85"/>
      <c r="H178" s="85"/>
      <c r="I178" s="85"/>
      <c r="J178" s="85"/>
      <c r="K178" s="133"/>
      <c r="L178" s="134"/>
      <c r="M178" s="61"/>
      <c r="N178" s="80"/>
      <c r="O178" s="13"/>
      <c r="P178" s="80"/>
      <c r="Q178" s="762"/>
      <c r="R178" s="1172"/>
      <c r="S178" s="1172"/>
    </row>
    <row r="179" spans="1:19" ht="16.5" thickBot="1" x14ac:dyDescent="0.25">
      <c r="A179" s="283"/>
      <c r="B179" s="14"/>
      <c r="C179" s="14"/>
      <c r="D179" s="14"/>
      <c r="E179" s="14"/>
      <c r="F179" s="14"/>
      <c r="G179" s="284"/>
      <c r="H179" s="14"/>
      <c r="I179" s="383"/>
      <c r="J179" s="14"/>
      <c r="K179" s="283"/>
      <c r="L179" s="14"/>
      <c r="M179" s="14"/>
      <c r="N179" s="14"/>
      <c r="O179" s="397" t="s">
        <v>250</v>
      </c>
      <c r="P179" s="14"/>
      <c r="Q179" s="769">
        <f>IF(Q19&gt;0,Q156+Q175+Q177,0)</f>
        <v>0</v>
      </c>
      <c r="R179" s="1172"/>
      <c r="S179" s="1442">
        <f>SUM(S156:S178)</f>
        <v>0</v>
      </c>
    </row>
    <row r="180" spans="1:19"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87">
    <mergeCell ref="M110:N110"/>
    <mergeCell ref="B10:H10"/>
    <mergeCell ref="L16:M16"/>
    <mergeCell ref="B14:O14"/>
    <mergeCell ref="J10:K10"/>
    <mergeCell ref="C109:E109"/>
    <mergeCell ref="F109:H109"/>
    <mergeCell ref="A39:M39"/>
    <mergeCell ref="I89:J89"/>
    <mergeCell ref="A47:P47"/>
    <mergeCell ref="A37:N37"/>
    <mergeCell ref="A20:I20"/>
    <mergeCell ref="J20:K20"/>
    <mergeCell ref="N17:O17"/>
    <mergeCell ref="C18:I18"/>
    <mergeCell ref="L19:P19"/>
    <mergeCell ref="P4:Q4"/>
    <mergeCell ref="P12:Q12"/>
    <mergeCell ref="P6:Q6"/>
    <mergeCell ref="B5:Q5"/>
    <mergeCell ref="B6:J6"/>
    <mergeCell ref="B7:J7"/>
    <mergeCell ref="K8:L8"/>
    <mergeCell ref="M7:O7"/>
    <mergeCell ref="K6:L6"/>
    <mergeCell ref="K7:L7"/>
    <mergeCell ref="N6:O6"/>
    <mergeCell ref="B12:N12"/>
    <mergeCell ref="C4:G4"/>
    <mergeCell ref="H4:I4"/>
    <mergeCell ref="B8:J8"/>
    <mergeCell ref="B9:J9"/>
    <mergeCell ref="A33:N33"/>
    <mergeCell ref="A35:N35"/>
    <mergeCell ref="A27:N27"/>
    <mergeCell ref="A25:N25"/>
    <mergeCell ref="K112:L112"/>
    <mergeCell ref="K111:L111"/>
    <mergeCell ref="M111:N111"/>
    <mergeCell ref="K110:L110"/>
    <mergeCell ref="I109:J109"/>
    <mergeCell ref="K109:L109"/>
    <mergeCell ref="A52:N52"/>
    <mergeCell ref="A54:N54"/>
    <mergeCell ref="M109:N109"/>
    <mergeCell ref="I91:O91"/>
    <mergeCell ref="I108:J108"/>
    <mergeCell ref="M108:N108"/>
    <mergeCell ref="A23:M23"/>
    <mergeCell ref="A31:N31"/>
    <mergeCell ref="O15:Q15"/>
    <mergeCell ref="C15:J15"/>
    <mergeCell ref="M8:O8"/>
    <mergeCell ref="O10:Q10"/>
    <mergeCell ref="B13:O13"/>
    <mergeCell ref="B17:I17"/>
    <mergeCell ref="B19:K19"/>
    <mergeCell ref="A29:N29"/>
    <mergeCell ref="O18:Q18"/>
    <mergeCell ref="L20:P20"/>
    <mergeCell ref="A133:E134"/>
    <mergeCell ref="A124:D125"/>
    <mergeCell ref="A118:J118"/>
    <mergeCell ref="F108:H108"/>
    <mergeCell ref="A130:F131"/>
    <mergeCell ref="A121:C122"/>
    <mergeCell ref="C112:E112"/>
    <mergeCell ref="C110:E110"/>
    <mergeCell ref="C111:E111"/>
    <mergeCell ref="F110:H110"/>
    <mergeCell ref="I110:J110"/>
    <mergeCell ref="A161:C162"/>
    <mergeCell ref="G88:O88"/>
    <mergeCell ref="A158:C159"/>
    <mergeCell ref="A146:K146"/>
    <mergeCell ref="A142:D143"/>
    <mergeCell ref="A139:D140"/>
    <mergeCell ref="B104:Q105"/>
    <mergeCell ref="A136:E137"/>
    <mergeCell ref="A127:D128"/>
    <mergeCell ref="C108:E108"/>
    <mergeCell ref="K108:L108"/>
    <mergeCell ref="M112:N112"/>
    <mergeCell ref="F111:H111"/>
    <mergeCell ref="I111:J111"/>
    <mergeCell ref="F112:H112"/>
    <mergeCell ref="I112:J112"/>
  </mergeCells>
  <phoneticPr fontId="0" type="noConversion"/>
  <conditionalFormatting sqref="Q112 M112 K112 I112 B112:C112 F112">
    <cfRule type="expression" dxfId="1" priority="1" stopIfTrue="1">
      <formula>B112&lt;B111</formula>
    </cfRule>
  </conditionalFormatting>
  <conditionalFormatting sqref="O112">
    <cfRule type="expression" dxfId="0" priority="3" stopIfTrue="1">
      <formula>O112&lt;P111</formula>
    </cfRule>
  </conditionalFormatting>
  <printOptions horizontalCentered="1"/>
  <pageMargins left="0.55118110236220474" right="0.55118110236220474" top="0.78740157480314965" bottom="0.78740157480314965" header="0.47244094488188981" footer="0.55118110236220474"/>
  <pageSetup paperSize="9" scale="50" orientation="portrait" r:id="rId2"/>
  <headerFooter alignWithMargins="0">
    <oddFooter>&amp;L&amp;"Arial,Regular"&amp;8&amp;A 
(&amp;F)&amp;C&amp;"Arial,Regular"&amp;P&amp;R&amp;"Arial,Regular"&amp;9&amp;D</oddFooter>
  </headerFooter>
  <rowBreaks count="1" manualBreakCount="1">
    <brk id="91" max="16" man="1"/>
  </rowBreaks>
  <colBreaks count="1" manualBreakCount="1">
    <brk id="17" max="177"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7"/>
  </sheetPr>
  <dimension ref="B1:L34"/>
  <sheetViews>
    <sheetView zoomScale="75" zoomScaleNormal="100" workbookViewId="0">
      <selection activeCell="B3" sqref="B3"/>
    </sheetView>
  </sheetViews>
  <sheetFormatPr defaultRowHeight="15" x14ac:dyDescent="0.2"/>
  <cols>
    <col min="1" max="1" width="2.77734375" customWidth="1"/>
    <col min="2" max="2" width="15" customWidth="1"/>
    <col min="3" max="3" width="13.33203125" customWidth="1"/>
    <col min="4" max="4" width="13.109375" customWidth="1"/>
    <col min="5" max="5" width="14.6640625" customWidth="1"/>
    <col min="6" max="6" width="4.44140625" customWidth="1"/>
    <col min="8" max="8" width="26.88671875" customWidth="1"/>
    <col min="10" max="10" width="3.109375" customWidth="1"/>
    <col min="11" max="11" width="10.77734375" customWidth="1"/>
    <col min="12" max="12" width="8.5546875" customWidth="1"/>
  </cols>
  <sheetData>
    <row r="1" spans="2:12" ht="18" x14ac:dyDescent="0.25">
      <c r="B1" s="641" t="s">
        <v>398</v>
      </c>
    </row>
    <row r="2" spans="2:12" ht="16.5" thickBot="1" x14ac:dyDescent="0.3">
      <c r="B2" s="340" t="s">
        <v>399</v>
      </c>
      <c r="C2" s="2009" t="s">
        <v>104</v>
      </c>
      <c r="D2" s="2009"/>
      <c r="E2" s="2009"/>
      <c r="G2" s="341" t="s">
        <v>379</v>
      </c>
      <c r="H2" s="878"/>
      <c r="I2" s="878"/>
      <c r="J2" s="878"/>
      <c r="K2" s="878"/>
      <c r="L2" s="878"/>
    </row>
    <row r="3" spans="2:12" ht="29.25" customHeight="1" x14ac:dyDescent="0.2">
      <c r="B3" s="951">
        <v>0</v>
      </c>
      <c r="C3" s="952">
        <f>B4</f>
        <v>512000</v>
      </c>
      <c r="D3" s="952">
        <v>0</v>
      </c>
      <c r="E3" s="953">
        <v>0.125</v>
      </c>
      <c r="G3" s="879" t="s">
        <v>380</v>
      </c>
      <c r="H3" s="880" t="s">
        <v>381</v>
      </c>
      <c r="I3" s="881" t="s">
        <v>382</v>
      </c>
      <c r="J3" s="882"/>
      <c r="K3" s="883" t="s">
        <v>383</v>
      </c>
      <c r="L3" s="884" t="s">
        <v>384</v>
      </c>
    </row>
    <row r="4" spans="2:12" ht="20.100000000000001" customHeight="1" x14ac:dyDescent="0.2">
      <c r="B4" s="954">
        <v>512000</v>
      </c>
      <c r="C4" s="955">
        <v>1280000</v>
      </c>
      <c r="D4" s="955">
        <v>64000</v>
      </c>
      <c r="E4" s="956">
        <v>0.125</v>
      </c>
      <c r="G4" s="885" t="s">
        <v>385</v>
      </c>
      <c r="H4" s="886" t="s">
        <v>386</v>
      </c>
      <c r="I4" s="887">
        <v>0.05</v>
      </c>
      <c r="J4" s="888" t="s">
        <v>23</v>
      </c>
      <c r="K4" s="889">
        <v>1</v>
      </c>
      <c r="L4" s="890">
        <v>0.05</v>
      </c>
    </row>
    <row r="5" spans="2:12" ht="28.5" customHeight="1" x14ac:dyDescent="0.2">
      <c r="B5" s="954">
        <v>1280000</v>
      </c>
      <c r="C5" s="955">
        <v>6300000</v>
      </c>
      <c r="D5" s="955">
        <v>160000</v>
      </c>
      <c r="E5" s="957">
        <v>0.1</v>
      </c>
      <c r="G5" s="885" t="s">
        <v>387</v>
      </c>
      <c r="H5" s="886" t="s">
        <v>388</v>
      </c>
      <c r="I5" s="887">
        <f>IF('Input Data'!$F$32&lt;2,0,20%)</f>
        <v>0.2</v>
      </c>
      <c r="J5" s="888" t="s">
        <v>23</v>
      </c>
      <c r="K5" s="889">
        <f>IF('Input Data'!$F$32=2,'Input Data'!$D$33,1)</f>
        <v>1</v>
      </c>
      <c r="L5" s="890">
        <f>I5*K5+L4</f>
        <v>0.25</v>
      </c>
    </row>
    <row r="6" spans="2:12" ht="20.100000000000001" customHeight="1" x14ac:dyDescent="0.2">
      <c r="B6" s="954">
        <v>6300000</v>
      </c>
      <c r="C6" s="955">
        <v>12850000</v>
      </c>
      <c r="D6" s="955">
        <v>662000</v>
      </c>
      <c r="E6" s="957">
        <v>0.09</v>
      </c>
      <c r="G6" s="885" t="s">
        <v>389</v>
      </c>
      <c r="H6" s="886" t="s">
        <v>390</v>
      </c>
      <c r="I6" s="887">
        <f>IF('Input Data'!$F$32&lt;3,0,30%)</f>
        <v>0.3</v>
      </c>
      <c r="J6" s="888" t="s">
        <v>23</v>
      </c>
      <c r="K6" s="889">
        <f>IF('Input Data'!$F$32=3,'Input Data'!$D$33,1)</f>
        <v>1</v>
      </c>
      <c r="L6" s="890">
        <f>I6*K6+L5</f>
        <v>0.55000000000000004</v>
      </c>
    </row>
    <row r="7" spans="2:12" ht="20.100000000000001" customHeight="1" thickBot="1" x14ac:dyDescent="0.25">
      <c r="B7" s="954">
        <v>12850000</v>
      </c>
      <c r="C7" s="955">
        <v>32000000</v>
      </c>
      <c r="D7" s="955">
        <v>1251500</v>
      </c>
      <c r="E7" s="957">
        <v>0.08</v>
      </c>
      <c r="G7" s="891" t="s">
        <v>391</v>
      </c>
      <c r="H7" s="892" t="s">
        <v>392</v>
      </c>
      <c r="I7" s="893">
        <f>IF('Input Data'!$F$32&lt;4,0,15%)</f>
        <v>0</v>
      </c>
      <c r="J7" s="894" t="s">
        <v>23</v>
      </c>
      <c r="K7" s="895">
        <f>IF('Input Data'!$F$32=4,'Input Data'!$D$33,1)</f>
        <v>1</v>
      </c>
      <c r="L7" s="896">
        <f>I7*K7+L6</f>
        <v>0.55000000000000004</v>
      </c>
    </row>
    <row r="8" spans="2:12" ht="20.100000000000001" customHeight="1" x14ac:dyDescent="0.2">
      <c r="B8" s="954">
        <v>32000000</v>
      </c>
      <c r="C8" s="955">
        <v>64000000</v>
      </c>
      <c r="D8" s="955">
        <v>2783500</v>
      </c>
      <c r="E8" s="957">
        <v>0.06</v>
      </c>
    </row>
    <row r="9" spans="2:12" ht="20.100000000000001" customHeight="1" x14ac:dyDescent="0.2">
      <c r="B9" s="954">
        <v>64000000</v>
      </c>
      <c r="C9" s="955">
        <v>385500000</v>
      </c>
      <c r="D9" s="955">
        <v>4703500</v>
      </c>
      <c r="E9" s="957">
        <v>5.5E-2</v>
      </c>
    </row>
    <row r="10" spans="2:12" ht="20.100000000000001" customHeight="1" thickBot="1" x14ac:dyDescent="0.25">
      <c r="B10" s="958">
        <v>385500000</v>
      </c>
      <c r="C10" s="959">
        <v>1000000000</v>
      </c>
      <c r="D10" s="959">
        <v>22386000</v>
      </c>
      <c r="E10" s="960">
        <v>0.05</v>
      </c>
      <c r="H10" s="886" t="s">
        <v>386</v>
      </c>
      <c r="I10" s="942">
        <v>5</v>
      </c>
    </row>
    <row r="11" spans="2:12" ht="28.5" customHeight="1" x14ac:dyDescent="0.2">
      <c r="B11" s="961"/>
      <c r="C11" s="962"/>
      <c r="D11" s="962"/>
      <c r="E11" s="962"/>
      <c r="H11" s="886" t="s">
        <v>388</v>
      </c>
      <c r="I11" s="942">
        <v>20</v>
      </c>
    </row>
    <row r="12" spans="2:12" ht="21" customHeight="1" x14ac:dyDescent="0.2">
      <c r="B12" s="963"/>
      <c r="C12" s="963"/>
      <c r="D12" s="963"/>
      <c r="E12" s="963"/>
      <c r="H12" s="886" t="s">
        <v>390</v>
      </c>
      <c r="I12" s="942">
        <v>30</v>
      </c>
    </row>
    <row r="13" spans="2:12" ht="31.5" customHeight="1" thickBot="1" x14ac:dyDescent="0.3">
      <c r="B13" s="341" t="s">
        <v>400</v>
      </c>
      <c r="C13" s="2010" t="s">
        <v>105</v>
      </c>
      <c r="D13" s="2010"/>
      <c r="E13" s="2010"/>
      <c r="H13" s="886" t="s">
        <v>392</v>
      </c>
      <c r="I13" s="942">
        <v>15</v>
      </c>
    </row>
    <row r="14" spans="2:12" ht="20.100000000000001" customHeight="1" x14ac:dyDescent="0.2">
      <c r="B14" s="964">
        <v>0</v>
      </c>
      <c r="C14" s="965">
        <f>B15</f>
        <v>512000</v>
      </c>
      <c r="D14" s="966">
        <v>0</v>
      </c>
      <c r="E14" s="967">
        <v>0.05</v>
      </c>
      <c r="H14" s="934"/>
      <c r="I14" s="942">
        <f>SUM(I10:I13)</f>
        <v>70</v>
      </c>
    </row>
    <row r="15" spans="2:12" ht="20.100000000000001" customHeight="1" x14ac:dyDescent="0.2">
      <c r="B15" s="968">
        <v>512000</v>
      </c>
      <c r="C15" s="969">
        <v>1280000</v>
      </c>
      <c r="D15" s="969">
        <v>25600</v>
      </c>
      <c r="E15" s="970">
        <v>0.05</v>
      </c>
    </row>
    <row r="16" spans="2:12" ht="20.100000000000001" customHeight="1" x14ac:dyDescent="0.2">
      <c r="B16" s="968">
        <v>1280000</v>
      </c>
      <c r="C16" s="969">
        <v>6300000</v>
      </c>
      <c r="D16" s="969">
        <v>64000</v>
      </c>
      <c r="E16" s="971">
        <v>4.4999999999999998E-2</v>
      </c>
      <c r="I16" s="978"/>
      <c r="K16" s="979"/>
      <c r="L16" s="218"/>
    </row>
    <row r="17" spans="2:12" ht="20.100000000000001" customHeight="1" x14ac:dyDescent="0.2">
      <c r="B17" s="968">
        <v>6300000</v>
      </c>
      <c r="C17" s="969">
        <v>12850000</v>
      </c>
      <c r="D17" s="969">
        <v>289900</v>
      </c>
      <c r="E17" s="971">
        <v>0.04</v>
      </c>
      <c r="H17" s="979"/>
      <c r="I17" s="980"/>
      <c r="K17" s="979"/>
      <c r="L17" s="981"/>
    </row>
    <row r="18" spans="2:12" ht="20.100000000000001" customHeight="1" x14ac:dyDescent="0.2">
      <c r="B18" s="968">
        <v>12850000</v>
      </c>
      <c r="C18" s="969">
        <v>32000000</v>
      </c>
      <c r="D18" s="969">
        <v>551900</v>
      </c>
      <c r="E18" s="971">
        <v>0.03</v>
      </c>
    </row>
    <row r="19" spans="2:12" ht="20.100000000000001" customHeight="1" x14ac:dyDescent="0.2">
      <c r="B19" s="968">
        <v>32000000</v>
      </c>
      <c r="C19" s="969">
        <v>64000000</v>
      </c>
      <c r="D19" s="969">
        <v>1126400</v>
      </c>
      <c r="E19" s="971">
        <v>0.02</v>
      </c>
    </row>
    <row r="20" spans="2:12" ht="20.100000000000001" customHeight="1" x14ac:dyDescent="0.2">
      <c r="B20" s="968">
        <v>64000000</v>
      </c>
      <c r="C20" s="969">
        <v>385500000</v>
      </c>
      <c r="D20" s="969">
        <v>1766400</v>
      </c>
      <c r="E20" s="971">
        <v>1.4999999999999999E-2</v>
      </c>
    </row>
    <row r="21" spans="2:12" ht="20.100000000000001" customHeight="1" thickBot="1" x14ac:dyDescent="0.25">
      <c r="B21" s="972">
        <v>385500000</v>
      </c>
      <c r="C21" s="973">
        <v>1000000000</v>
      </c>
      <c r="D21" s="973">
        <v>6588900</v>
      </c>
      <c r="E21" s="974">
        <v>1.4999999999999999E-2</v>
      </c>
    </row>
    <row r="22" spans="2:12" ht="18" customHeight="1" x14ac:dyDescent="0.2"/>
    <row r="29" spans="2:12" ht="15.75" customHeight="1" x14ac:dyDescent="0.2"/>
    <row r="30" spans="2:12" ht="15.75" customHeight="1" x14ac:dyDescent="0.2"/>
    <row r="31" spans="2:12" ht="15" customHeight="1" x14ac:dyDescent="0.2"/>
    <row r="32" spans="2:12" ht="15" customHeight="1" x14ac:dyDescent="0.2"/>
    <row r="34" ht="15.75" customHeight="1" x14ac:dyDescent="0.2"/>
  </sheetData>
  <sheetProtection password="CD4C" sheet="1" objects="1" scenarios="1"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2">
    <mergeCell ref="C2:E2"/>
    <mergeCell ref="C13:E13"/>
  </mergeCells>
  <phoneticPr fontId="0" type="noConversion"/>
  <pageMargins left="0.75" right="0.75" top="1" bottom="1" header="0.5" footer="0.5"/>
  <pageSetup paperSize="9" scale="91" orientation="landscape"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I4" sqref="I4"/>
    </sheetView>
  </sheetViews>
  <sheetFormatPr defaultRowHeight="15" x14ac:dyDescent="0.2"/>
  <cols>
    <col min="1" max="2" width="9.21875" customWidth="1"/>
    <col min="3" max="3" width="13.44140625" customWidth="1"/>
    <col min="4" max="4" width="11.6640625" customWidth="1"/>
    <col min="5" max="5" width="10.77734375" customWidth="1"/>
    <col min="6" max="6" width="13" customWidth="1"/>
    <col min="7" max="7" width="3.21875" customWidth="1"/>
    <col min="8" max="8" width="9.44140625" customWidth="1"/>
    <col min="9" max="9" width="11.6640625" customWidth="1"/>
    <col min="10" max="10" width="13.21875" customWidth="1"/>
    <col min="11" max="11" width="12" customWidth="1"/>
    <col min="12" max="12" width="10.21875" customWidth="1"/>
    <col min="13" max="13" width="11.77734375" customWidth="1"/>
  </cols>
  <sheetData>
    <row r="1" spans="1:13" ht="21" customHeight="1" thickTop="1" x14ac:dyDescent="0.2">
      <c r="A1" s="1599" t="s">
        <v>674</v>
      </c>
      <c r="B1" s="325"/>
      <c r="C1" s="200"/>
      <c r="D1" s="200"/>
      <c r="E1" s="201" t="s">
        <v>189</v>
      </c>
      <c r="F1" s="200"/>
      <c r="G1" s="200"/>
      <c r="H1" s="200"/>
      <c r="I1" s="200"/>
      <c r="J1" s="200"/>
      <c r="K1" s="200"/>
      <c r="L1" s="200"/>
      <c r="M1" s="202"/>
    </row>
    <row r="2" spans="1:13" x14ac:dyDescent="0.2">
      <c r="A2" s="2011" t="s">
        <v>183</v>
      </c>
      <c r="B2" s="2012"/>
      <c r="C2" s="2012"/>
      <c r="D2" s="1722">
        <f>'Input Data'!D29</f>
        <v>0</v>
      </c>
      <c r="E2" s="203" t="s">
        <v>251</v>
      </c>
      <c r="F2" s="1026">
        <f>'Input Data'!D6</f>
        <v>0</v>
      </c>
      <c r="G2" s="124"/>
      <c r="H2" s="2012" t="s">
        <v>93</v>
      </c>
      <c r="I2" s="2012"/>
      <c r="J2" s="2013"/>
      <c r="K2" s="217" t="str">
        <f>IF('Input Data'!D18="NONE","N","Y")</f>
        <v>Y</v>
      </c>
      <c r="L2" s="124"/>
      <c r="M2" s="130"/>
    </row>
    <row r="3" spans="1:13" ht="15.75" thickBot="1" x14ac:dyDescent="0.25">
      <c r="A3" s="205"/>
      <c r="B3" s="206"/>
      <c r="C3" s="124"/>
      <c r="D3" s="124"/>
      <c r="E3" s="124"/>
      <c r="F3" s="124"/>
      <c r="G3" s="124"/>
      <c r="H3" s="206"/>
      <c r="I3" s="206"/>
      <c r="J3" s="207"/>
      <c r="K3" s="124"/>
      <c r="L3" s="124"/>
      <c r="M3" s="208"/>
    </row>
    <row r="4" spans="1:13" ht="67.5" customHeight="1" thickTop="1" thickBot="1" x14ac:dyDescent="0.25">
      <c r="A4" s="209" t="s">
        <v>675</v>
      </c>
      <c r="B4" s="326" t="s">
        <v>7</v>
      </c>
      <c r="C4" s="710" t="s">
        <v>364</v>
      </c>
      <c r="D4" s="710" t="s">
        <v>365</v>
      </c>
      <c r="E4" s="210" t="s">
        <v>366</v>
      </c>
      <c r="F4" s="711" t="s">
        <v>367</v>
      </c>
      <c r="G4" s="45"/>
      <c r="H4" s="209" t="s">
        <v>675</v>
      </c>
      <c r="I4" s="326" t="s">
        <v>7</v>
      </c>
      <c r="J4" s="710" t="s">
        <v>364</v>
      </c>
      <c r="K4" s="710" t="s">
        <v>365</v>
      </c>
      <c r="L4" s="210" t="s">
        <v>366</v>
      </c>
      <c r="M4" s="711" t="s">
        <v>367</v>
      </c>
    </row>
    <row r="5" spans="1:13" ht="27" thickTop="1" thickBot="1" x14ac:dyDescent="0.25">
      <c r="A5" s="211" t="s">
        <v>184</v>
      </c>
      <c r="B5" s="329"/>
      <c r="C5" s="817"/>
      <c r="D5" s="818">
        <f>IF($K$2="Y",((C5-E5)/1.14),C5)</f>
        <v>0</v>
      </c>
      <c r="E5" s="817"/>
      <c r="F5" s="819">
        <f>SUM(D5:E5)</f>
        <v>0</v>
      </c>
      <c r="G5" s="29"/>
      <c r="H5" s="212" t="s">
        <v>185</v>
      </c>
      <c r="I5" s="328"/>
      <c r="J5" s="822">
        <f>C42</f>
        <v>0</v>
      </c>
      <c r="K5" s="823">
        <f>D42</f>
        <v>0</v>
      </c>
      <c r="L5" s="822">
        <f>E42</f>
        <v>0</v>
      </c>
      <c r="M5" s="824">
        <f>SUM(K5:L5)</f>
        <v>0</v>
      </c>
    </row>
    <row r="6" spans="1:13" x14ac:dyDescent="0.2">
      <c r="A6" s="213">
        <f t="shared" ref="A6:A41" si="0">A5+1</f>
        <v>2</v>
      </c>
      <c r="B6" s="330"/>
      <c r="C6" s="817">
        <v>0</v>
      </c>
      <c r="D6" s="818">
        <f t="shared" ref="D6:D41" si="1">IF($K$2="Y",((C6-E6)/1.14),C6)</f>
        <v>0</v>
      </c>
      <c r="E6" s="817">
        <v>0</v>
      </c>
      <c r="F6" s="819">
        <f t="shared" ref="F6:F41" si="2">SUM(D6:E6)</f>
        <v>0</v>
      </c>
      <c r="G6" s="29"/>
      <c r="H6" s="214" t="s">
        <v>186</v>
      </c>
      <c r="I6" s="329"/>
      <c r="J6" s="825">
        <v>0</v>
      </c>
      <c r="K6" s="818">
        <f t="shared" ref="K6:K41" si="3">IF($K$2="Y",((J6-L6)/1.14),J6)</f>
        <v>0</v>
      </c>
      <c r="L6" s="825">
        <v>0</v>
      </c>
      <c r="M6" s="826">
        <f t="shared" ref="M6:M41" si="4">SUM(K6:L6)</f>
        <v>0</v>
      </c>
    </row>
    <row r="7" spans="1:13" x14ac:dyDescent="0.2">
      <c r="A7" s="213">
        <f t="shared" si="0"/>
        <v>3</v>
      </c>
      <c r="B7" s="330"/>
      <c r="C7" s="817">
        <v>0</v>
      </c>
      <c r="D7" s="818">
        <f t="shared" si="1"/>
        <v>0</v>
      </c>
      <c r="E7" s="817">
        <v>0</v>
      </c>
      <c r="F7" s="819">
        <f t="shared" si="2"/>
        <v>0</v>
      </c>
      <c r="G7" s="29"/>
      <c r="H7" s="213">
        <f t="shared" ref="H7:H41" si="5">H6+1</f>
        <v>39</v>
      </c>
      <c r="I7" s="330"/>
      <c r="J7" s="817">
        <v>0</v>
      </c>
      <c r="K7" s="818">
        <f t="shared" si="3"/>
        <v>0</v>
      </c>
      <c r="L7" s="817">
        <v>0</v>
      </c>
      <c r="M7" s="819">
        <f t="shared" si="4"/>
        <v>0</v>
      </c>
    </row>
    <row r="8" spans="1:13" x14ac:dyDescent="0.2">
      <c r="A8" s="213">
        <f t="shared" si="0"/>
        <v>4</v>
      </c>
      <c r="B8" s="330"/>
      <c r="C8" s="817">
        <v>0</v>
      </c>
      <c r="D8" s="818">
        <f t="shared" si="1"/>
        <v>0</v>
      </c>
      <c r="E8" s="817">
        <v>0</v>
      </c>
      <c r="F8" s="819">
        <f t="shared" si="2"/>
        <v>0</v>
      </c>
      <c r="G8" s="29"/>
      <c r="H8" s="213">
        <f t="shared" si="5"/>
        <v>40</v>
      </c>
      <c r="I8" s="330"/>
      <c r="J8" s="817">
        <v>0</v>
      </c>
      <c r="K8" s="818">
        <f t="shared" si="3"/>
        <v>0</v>
      </c>
      <c r="L8" s="817">
        <v>0</v>
      </c>
      <c r="M8" s="819">
        <f t="shared" si="4"/>
        <v>0</v>
      </c>
    </row>
    <row r="9" spans="1:13" x14ac:dyDescent="0.2">
      <c r="A9" s="213">
        <f t="shared" si="0"/>
        <v>5</v>
      </c>
      <c r="B9" s="330"/>
      <c r="C9" s="817">
        <v>0</v>
      </c>
      <c r="D9" s="818">
        <f t="shared" si="1"/>
        <v>0</v>
      </c>
      <c r="E9" s="817">
        <v>0</v>
      </c>
      <c r="F9" s="819">
        <f t="shared" si="2"/>
        <v>0</v>
      </c>
      <c r="G9" s="29"/>
      <c r="H9" s="213">
        <f t="shared" si="5"/>
        <v>41</v>
      </c>
      <c r="I9" s="330"/>
      <c r="J9" s="817">
        <v>0</v>
      </c>
      <c r="K9" s="818">
        <f t="shared" si="3"/>
        <v>0</v>
      </c>
      <c r="L9" s="817">
        <v>0</v>
      </c>
      <c r="M9" s="819">
        <f t="shared" si="4"/>
        <v>0</v>
      </c>
    </row>
    <row r="10" spans="1:13" x14ac:dyDescent="0.2">
      <c r="A10" s="213">
        <f t="shared" si="0"/>
        <v>6</v>
      </c>
      <c r="B10" s="330"/>
      <c r="C10" s="817">
        <v>0</v>
      </c>
      <c r="D10" s="818">
        <f t="shared" si="1"/>
        <v>0</v>
      </c>
      <c r="E10" s="817">
        <v>0</v>
      </c>
      <c r="F10" s="819">
        <f t="shared" si="2"/>
        <v>0</v>
      </c>
      <c r="G10" s="29"/>
      <c r="H10" s="213">
        <f t="shared" si="5"/>
        <v>42</v>
      </c>
      <c r="I10" s="330"/>
      <c r="J10" s="817">
        <v>0</v>
      </c>
      <c r="K10" s="818">
        <f t="shared" si="3"/>
        <v>0</v>
      </c>
      <c r="L10" s="817">
        <v>0</v>
      </c>
      <c r="M10" s="819">
        <f t="shared" si="4"/>
        <v>0</v>
      </c>
    </row>
    <row r="11" spans="1:13" x14ac:dyDescent="0.2">
      <c r="A11" s="213">
        <f t="shared" si="0"/>
        <v>7</v>
      </c>
      <c r="B11" s="330"/>
      <c r="C11" s="817">
        <v>0</v>
      </c>
      <c r="D11" s="818">
        <f t="shared" si="1"/>
        <v>0</v>
      </c>
      <c r="E11" s="817">
        <v>0</v>
      </c>
      <c r="F11" s="819">
        <f t="shared" si="2"/>
        <v>0</v>
      </c>
      <c r="G11" s="29"/>
      <c r="H11" s="213">
        <f t="shared" si="5"/>
        <v>43</v>
      </c>
      <c r="I11" s="330"/>
      <c r="J11" s="817">
        <v>0</v>
      </c>
      <c r="K11" s="818">
        <f t="shared" si="3"/>
        <v>0</v>
      </c>
      <c r="L11" s="817">
        <v>0</v>
      </c>
      <c r="M11" s="819">
        <f t="shared" si="4"/>
        <v>0</v>
      </c>
    </row>
    <row r="12" spans="1:13" x14ac:dyDescent="0.2">
      <c r="A12" s="213">
        <f t="shared" si="0"/>
        <v>8</v>
      </c>
      <c r="B12" s="330"/>
      <c r="C12" s="817">
        <v>0</v>
      </c>
      <c r="D12" s="818">
        <f t="shared" si="1"/>
        <v>0</v>
      </c>
      <c r="E12" s="817">
        <v>0</v>
      </c>
      <c r="F12" s="819">
        <f t="shared" si="2"/>
        <v>0</v>
      </c>
      <c r="G12" s="29"/>
      <c r="H12" s="213">
        <f t="shared" si="5"/>
        <v>44</v>
      </c>
      <c r="I12" s="330"/>
      <c r="J12" s="817">
        <v>0</v>
      </c>
      <c r="K12" s="818">
        <f t="shared" si="3"/>
        <v>0</v>
      </c>
      <c r="L12" s="817">
        <v>0</v>
      </c>
      <c r="M12" s="819">
        <f t="shared" si="4"/>
        <v>0</v>
      </c>
    </row>
    <row r="13" spans="1:13" x14ac:dyDescent="0.2">
      <c r="A13" s="213">
        <f t="shared" si="0"/>
        <v>9</v>
      </c>
      <c r="B13" s="330"/>
      <c r="C13" s="817">
        <v>0</v>
      </c>
      <c r="D13" s="818">
        <f t="shared" si="1"/>
        <v>0</v>
      </c>
      <c r="E13" s="817">
        <v>0</v>
      </c>
      <c r="F13" s="819">
        <f t="shared" si="2"/>
        <v>0</v>
      </c>
      <c r="G13" s="29"/>
      <c r="H13" s="213">
        <f t="shared" si="5"/>
        <v>45</v>
      </c>
      <c r="I13" s="330"/>
      <c r="J13" s="817">
        <v>0</v>
      </c>
      <c r="K13" s="818">
        <f t="shared" si="3"/>
        <v>0</v>
      </c>
      <c r="L13" s="817">
        <v>0</v>
      </c>
      <c r="M13" s="819">
        <f t="shared" si="4"/>
        <v>0</v>
      </c>
    </row>
    <row r="14" spans="1:13" x14ac:dyDescent="0.2">
      <c r="A14" s="213">
        <f t="shared" si="0"/>
        <v>10</v>
      </c>
      <c r="B14" s="330"/>
      <c r="C14" s="817">
        <v>0</v>
      </c>
      <c r="D14" s="818">
        <f t="shared" si="1"/>
        <v>0</v>
      </c>
      <c r="E14" s="817">
        <v>0</v>
      </c>
      <c r="F14" s="819">
        <f t="shared" si="2"/>
        <v>0</v>
      </c>
      <c r="G14" s="29"/>
      <c r="H14" s="213">
        <f t="shared" si="5"/>
        <v>46</v>
      </c>
      <c r="I14" s="330"/>
      <c r="J14" s="817">
        <v>0</v>
      </c>
      <c r="K14" s="818">
        <f t="shared" si="3"/>
        <v>0</v>
      </c>
      <c r="L14" s="817">
        <v>0</v>
      </c>
      <c r="M14" s="819">
        <f t="shared" si="4"/>
        <v>0</v>
      </c>
    </row>
    <row r="15" spans="1:13" x14ac:dyDescent="0.2">
      <c r="A15" s="213">
        <f t="shared" si="0"/>
        <v>11</v>
      </c>
      <c r="B15" s="330"/>
      <c r="C15" s="817">
        <v>0</v>
      </c>
      <c r="D15" s="818">
        <f t="shared" si="1"/>
        <v>0</v>
      </c>
      <c r="E15" s="817">
        <v>0</v>
      </c>
      <c r="F15" s="819">
        <f t="shared" si="2"/>
        <v>0</v>
      </c>
      <c r="G15" s="29"/>
      <c r="H15" s="213">
        <f t="shared" si="5"/>
        <v>47</v>
      </c>
      <c r="I15" s="330"/>
      <c r="J15" s="817">
        <v>0</v>
      </c>
      <c r="K15" s="818">
        <f t="shared" si="3"/>
        <v>0</v>
      </c>
      <c r="L15" s="817">
        <v>0</v>
      </c>
      <c r="M15" s="819">
        <f t="shared" si="4"/>
        <v>0</v>
      </c>
    </row>
    <row r="16" spans="1:13" x14ac:dyDescent="0.2">
      <c r="A16" s="213">
        <f t="shared" si="0"/>
        <v>12</v>
      </c>
      <c r="B16" s="330"/>
      <c r="C16" s="817">
        <v>0</v>
      </c>
      <c r="D16" s="818">
        <f t="shared" si="1"/>
        <v>0</v>
      </c>
      <c r="E16" s="817">
        <v>0</v>
      </c>
      <c r="F16" s="819">
        <f t="shared" si="2"/>
        <v>0</v>
      </c>
      <c r="G16" s="29"/>
      <c r="H16" s="213">
        <f t="shared" si="5"/>
        <v>48</v>
      </c>
      <c r="I16" s="330"/>
      <c r="J16" s="817">
        <v>0</v>
      </c>
      <c r="K16" s="818">
        <f t="shared" si="3"/>
        <v>0</v>
      </c>
      <c r="L16" s="817">
        <v>0</v>
      </c>
      <c r="M16" s="819">
        <f t="shared" si="4"/>
        <v>0</v>
      </c>
    </row>
    <row r="17" spans="1:13" x14ac:dyDescent="0.2">
      <c r="A17" s="213">
        <f t="shared" si="0"/>
        <v>13</v>
      </c>
      <c r="B17" s="330"/>
      <c r="C17" s="817">
        <v>0</v>
      </c>
      <c r="D17" s="818">
        <f t="shared" si="1"/>
        <v>0</v>
      </c>
      <c r="E17" s="817">
        <v>0</v>
      </c>
      <c r="F17" s="819">
        <f t="shared" si="2"/>
        <v>0</v>
      </c>
      <c r="G17" s="29"/>
      <c r="H17" s="213">
        <f t="shared" si="5"/>
        <v>49</v>
      </c>
      <c r="I17" s="330"/>
      <c r="J17" s="817">
        <v>0</v>
      </c>
      <c r="K17" s="818">
        <f t="shared" si="3"/>
        <v>0</v>
      </c>
      <c r="L17" s="817">
        <v>0</v>
      </c>
      <c r="M17" s="819">
        <f t="shared" si="4"/>
        <v>0</v>
      </c>
    </row>
    <row r="18" spans="1:13" x14ac:dyDescent="0.2">
      <c r="A18" s="213">
        <f t="shared" si="0"/>
        <v>14</v>
      </c>
      <c r="B18" s="330"/>
      <c r="C18" s="817">
        <v>0</v>
      </c>
      <c r="D18" s="818">
        <f t="shared" si="1"/>
        <v>0</v>
      </c>
      <c r="E18" s="817">
        <v>0</v>
      </c>
      <c r="F18" s="819">
        <f t="shared" si="2"/>
        <v>0</v>
      </c>
      <c r="G18" s="29"/>
      <c r="H18" s="213">
        <f t="shared" si="5"/>
        <v>50</v>
      </c>
      <c r="I18" s="330"/>
      <c r="J18" s="817">
        <v>0</v>
      </c>
      <c r="K18" s="818">
        <f t="shared" si="3"/>
        <v>0</v>
      </c>
      <c r="L18" s="817">
        <v>0</v>
      </c>
      <c r="M18" s="819">
        <f t="shared" si="4"/>
        <v>0</v>
      </c>
    </row>
    <row r="19" spans="1:13" x14ac:dyDescent="0.2">
      <c r="A19" s="213">
        <f t="shared" si="0"/>
        <v>15</v>
      </c>
      <c r="B19" s="330"/>
      <c r="C19" s="817">
        <v>0</v>
      </c>
      <c r="D19" s="818">
        <f t="shared" si="1"/>
        <v>0</v>
      </c>
      <c r="E19" s="817">
        <v>0</v>
      </c>
      <c r="F19" s="819">
        <f t="shared" si="2"/>
        <v>0</v>
      </c>
      <c r="G19" s="29"/>
      <c r="H19" s="213">
        <f t="shared" si="5"/>
        <v>51</v>
      </c>
      <c r="I19" s="330"/>
      <c r="J19" s="817">
        <v>0</v>
      </c>
      <c r="K19" s="818">
        <f t="shared" si="3"/>
        <v>0</v>
      </c>
      <c r="L19" s="817">
        <v>0</v>
      </c>
      <c r="M19" s="819">
        <f t="shared" si="4"/>
        <v>0</v>
      </c>
    </row>
    <row r="20" spans="1:13" x14ac:dyDescent="0.2">
      <c r="A20" s="213">
        <f t="shared" si="0"/>
        <v>16</v>
      </c>
      <c r="B20" s="330"/>
      <c r="C20" s="817">
        <v>0</v>
      </c>
      <c r="D20" s="818">
        <f t="shared" si="1"/>
        <v>0</v>
      </c>
      <c r="E20" s="817">
        <v>0</v>
      </c>
      <c r="F20" s="819">
        <f t="shared" si="2"/>
        <v>0</v>
      </c>
      <c r="G20" s="29"/>
      <c r="H20" s="213">
        <f t="shared" si="5"/>
        <v>52</v>
      </c>
      <c r="I20" s="330"/>
      <c r="J20" s="817">
        <v>0</v>
      </c>
      <c r="K20" s="818">
        <f t="shared" si="3"/>
        <v>0</v>
      </c>
      <c r="L20" s="817">
        <v>0</v>
      </c>
      <c r="M20" s="819">
        <f t="shared" si="4"/>
        <v>0</v>
      </c>
    </row>
    <row r="21" spans="1:13" x14ac:dyDescent="0.2">
      <c r="A21" s="213">
        <f t="shared" si="0"/>
        <v>17</v>
      </c>
      <c r="B21" s="330"/>
      <c r="C21" s="817">
        <v>0</v>
      </c>
      <c r="D21" s="818">
        <f t="shared" si="1"/>
        <v>0</v>
      </c>
      <c r="E21" s="817">
        <v>0</v>
      </c>
      <c r="F21" s="819">
        <f t="shared" si="2"/>
        <v>0</v>
      </c>
      <c r="G21" s="215"/>
      <c r="H21" s="213">
        <f t="shared" si="5"/>
        <v>53</v>
      </c>
      <c r="I21" s="330"/>
      <c r="J21" s="817">
        <v>0</v>
      </c>
      <c r="K21" s="818">
        <f t="shared" si="3"/>
        <v>0</v>
      </c>
      <c r="L21" s="817">
        <v>0</v>
      </c>
      <c r="M21" s="819">
        <f t="shared" si="4"/>
        <v>0</v>
      </c>
    </row>
    <row r="22" spans="1:13" x14ac:dyDescent="0.2">
      <c r="A22" s="213">
        <f t="shared" si="0"/>
        <v>18</v>
      </c>
      <c r="B22" s="330"/>
      <c r="C22" s="817">
        <v>0</v>
      </c>
      <c r="D22" s="818">
        <f t="shared" si="1"/>
        <v>0</v>
      </c>
      <c r="E22" s="817">
        <v>0</v>
      </c>
      <c r="F22" s="819">
        <f t="shared" si="2"/>
        <v>0</v>
      </c>
      <c r="G22" s="215"/>
      <c r="H22" s="213">
        <f t="shared" si="5"/>
        <v>54</v>
      </c>
      <c r="I22" s="330"/>
      <c r="J22" s="817">
        <v>0</v>
      </c>
      <c r="K22" s="818">
        <f t="shared" si="3"/>
        <v>0</v>
      </c>
      <c r="L22" s="817">
        <v>0</v>
      </c>
      <c r="M22" s="819">
        <f t="shared" si="4"/>
        <v>0</v>
      </c>
    </row>
    <row r="23" spans="1:13" x14ac:dyDescent="0.2">
      <c r="A23" s="213">
        <f t="shared" si="0"/>
        <v>19</v>
      </c>
      <c r="B23" s="330"/>
      <c r="C23" s="817">
        <v>0</v>
      </c>
      <c r="D23" s="818">
        <f t="shared" si="1"/>
        <v>0</v>
      </c>
      <c r="E23" s="817">
        <v>0</v>
      </c>
      <c r="F23" s="819">
        <f t="shared" si="2"/>
        <v>0</v>
      </c>
      <c r="G23" s="215"/>
      <c r="H23" s="213">
        <f t="shared" si="5"/>
        <v>55</v>
      </c>
      <c r="I23" s="330"/>
      <c r="J23" s="817">
        <v>0</v>
      </c>
      <c r="K23" s="818">
        <f t="shared" si="3"/>
        <v>0</v>
      </c>
      <c r="L23" s="817">
        <v>0</v>
      </c>
      <c r="M23" s="819">
        <f t="shared" si="4"/>
        <v>0</v>
      </c>
    </row>
    <row r="24" spans="1:13" x14ac:dyDescent="0.2">
      <c r="A24" s="213">
        <f t="shared" si="0"/>
        <v>20</v>
      </c>
      <c r="B24" s="330"/>
      <c r="C24" s="817">
        <v>0</v>
      </c>
      <c r="D24" s="818">
        <f t="shared" si="1"/>
        <v>0</v>
      </c>
      <c r="E24" s="817">
        <v>0</v>
      </c>
      <c r="F24" s="819">
        <f t="shared" si="2"/>
        <v>0</v>
      </c>
      <c r="G24" s="29"/>
      <c r="H24" s="213">
        <f t="shared" si="5"/>
        <v>56</v>
      </c>
      <c r="I24" s="330"/>
      <c r="J24" s="817">
        <v>0</v>
      </c>
      <c r="K24" s="818">
        <f t="shared" si="3"/>
        <v>0</v>
      </c>
      <c r="L24" s="817">
        <v>0</v>
      </c>
      <c r="M24" s="819">
        <f t="shared" si="4"/>
        <v>0</v>
      </c>
    </row>
    <row r="25" spans="1:13" x14ac:dyDescent="0.2">
      <c r="A25" s="213">
        <f t="shared" si="0"/>
        <v>21</v>
      </c>
      <c r="B25" s="330"/>
      <c r="C25" s="817">
        <v>0</v>
      </c>
      <c r="D25" s="818">
        <f t="shared" si="1"/>
        <v>0</v>
      </c>
      <c r="E25" s="817">
        <v>0</v>
      </c>
      <c r="F25" s="819">
        <f t="shared" si="2"/>
        <v>0</v>
      </c>
      <c r="G25" s="29"/>
      <c r="H25" s="213">
        <f t="shared" si="5"/>
        <v>57</v>
      </c>
      <c r="I25" s="330"/>
      <c r="J25" s="817">
        <v>0</v>
      </c>
      <c r="K25" s="818">
        <f t="shared" si="3"/>
        <v>0</v>
      </c>
      <c r="L25" s="817">
        <v>0</v>
      </c>
      <c r="M25" s="819">
        <f t="shared" si="4"/>
        <v>0</v>
      </c>
    </row>
    <row r="26" spans="1:13" x14ac:dyDescent="0.2">
      <c r="A26" s="213">
        <f t="shared" si="0"/>
        <v>22</v>
      </c>
      <c r="B26" s="330"/>
      <c r="C26" s="817">
        <v>0</v>
      </c>
      <c r="D26" s="818">
        <f t="shared" si="1"/>
        <v>0</v>
      </c>
      <c r="E26" s="817">
        <v>0</v>
      </c>
      <c r="F26" s="819">
        <f t="shared" si="2"/>
        <v>0</v>
      </c>
      <c r="G26" s="29"/>
      <c r="H26" s="213">
        <f t="shared" si="5"/>
        <v>58</v>
      </c>
      <c r="I26" s="330"/>
      <c r="J26" s="817">
        <v>0</v>
      </c>
      <c r="K26" s="818">
        <f t="shared" si="3"/>
        <v>0</v>
      </c>
      <c r="L26" s="817">
        <v>0</v>
      </c>
      <c r="M26" s="819">
        <f t="shared" si="4"/>
        <v>0</v>
      </c>
    </row>
    <row r="27" spans="1:13" x14ac:dyDescent="0.2">
      <c r="A27" s="213">
        <f t="shared" si="0"/>
        <v>23</v>
      </c>
      <c r="B27" s="330"/>
      <c r="C27" s="817">
        <v>0</v>
      </c>
      <c r="D27" s="818">
        <f t="shared" si="1"/>
        <v>0</v>
      </c>
      <c r="E27" s="817">
        <v>0</v>
      </c>
      <c r="F27" s="819">
        <f t="shared" si="2"/>
        <v>0</v>
      </c>
      <c r="G27" s="29"/>
      <c r="H27" s="213">
        <f t="shared" si="5"/>
        <v>59</v>
      </c>
      <c r="I27" s="330"/>
      <c r="J27" s="817">
        <v>0</v>
      </c>
      <c r="K27" s="818">
        <f t="shared" si="3"/>
        <v>0</v>
      </c>
      <c r="L27" s="817">
        <v>0</v>
      </c>
      <c r="M27" s="819">
        <f t="shared" si="4"/>
        <v>0</v>
      </c>
    </row>
    <row r="28" spans="1:13" x14ac:dyDescent="0.2">
      <c r="A28" s="213">
        <f t="shared" si="0"/>
        <v>24</v>
      </c>
      <c r="B28" s="330"/>
      <c r="C28" s="817">
        <v>0</v>
      </c>
      <c r="D28" s="818">
        <f t="shared" si="1"/>
        <v>0</v>
      </c>
      <c r="E28" s="817">
        <v>0</v>
      </c>
      <c r="F28" s="819">
        <f t="shared" si="2"/>
        <v>0</v>
      </c>
      <c r="G28" s="29"/>
      <c r="H28" s="213">
        <f t="shared" si="5"/>
        <v>60</v>
      </c>
      <c r="I28" s="330"/>
      <c r="J28" s="817">
        <v>0</v>
      </c>
      <c r="K28" s="818">
        <f t="shared" si="3"/>
        <v>0</v>
      </c>
      <c r="L28" s="817">
        <v>0</v>
      </c>
      <c r="M28" s="819">
        <f t="shared" si="4"/>
        <v>0</v>
      </c>
    </row>
    <row r="29" spans="1:13" x14ac:dyDescent="0.2">
      <c r="A29" s="213">
        <f t="shared" si="0"/>
        <v>25</v>
      </c>
      <c r="B29" s="330"/>
      <c r="C29" s="817">
        <v>0</v>
      </c>
      <c r="D29" s="818">
        <f t="shared" si="1"/>
        <v>0</v>
      </c>
      <c r="E29" s="817">
        <v>0</v>
      </c>
      <c r="F29" s="819">
        <f t="shared" si="2"/>
        <v>0</v>
      </c>
      <c r="G29" s="29"/>
      <c r="H29" s="213">
        <f t="shared" si="5"/>
        <v>61</v>
      </c>
      <c r="I29" s="330"/>
      <c r="J29" s="817">
        <v>0</v>
      </c>
      <c r="K29" s="818">
        <f t="shared" si="3"/>
        <v>0</v>
      </c>
      <c r="L29" s="817">
        <v>0</v>
      </c>
      <c r="M29" s="819">
        <f t="shared" si="4"/>
        <v>0</v>
      </c>
    </row>
    <row r="30" spans="1:13" x14ac:dyDescent="0.2">
      <c r="A30" s="213">
        <f t="shared" si="0"/>
        <v>26</v>
      </c>
      <c r="B30" s="330"/>
      <c r="C30" s="817">
        <v>0</v>
      </c>
      <c r="D30" s="818">
        <f t="shared" si="1"/>
        <v>0</v>
      </c>
      <c r="E30" s="817">
        <v>0</v>
      </c>
      <c r="F30" s="819">
        <f t="shared" si="2"/>
        <v>0</v>
      </c>
      <c r="G30" s="29"/>
      <c r="H30" s="213">
        <f t="shared" si="5"/>
        <v>62</v>
      </c>
      <c r="I30" s="330"/>
      <c r="J30" s="817">
        <v>0</v>
      </c>
      <c r="K30" s="818">
        <f t="shared" si="3"/>
        <v>0</v>
      </c>
      <c r="L30" s="817">
        <v>0</v>
      </c>
      <c r="M30" s="819">
        <f t="shared" si="4"/>
        <v>0</v>
      </c>
    </row>
    <row r="31" spans="1:13" x14ac:dyDescent="0.2">
      <c r="A31" s="213">
        <f t="shared" si="0"/>
        <v>27</v>
      </c>
      <c r="B31" s="330"/>
      <c r="C31" s="817">
        <v>0</v>
      </c>
      <c r="D31" s="818">
        <f t="shared" si="1"/>
        <v>0</v>
      </c>
      <c r="E31" s="817">
        <v>0</v>
      </c>
      <c r="F31" s="819">
        <f t="shared" si="2"/>
        <v>0</v>
      </c>
      <c r="G31" s="29"/>
      <c r="H31" s="213">
        <f t="shared" si="5"/>
        <v>63</v>
      </c>
      <c r="I31" s="330"/>
      <c r="J31" s="817">
        <v>0</v>
      </c>
      <c r="K31" s="818">
        <f t="shared" si="3"/>
        <v>0</v>
      </c>
      <c r="L31" s="817">
        <v>0</v>
      </c>
      <c r="M31" s="819">
        <f t="shared" si="4"/>
        <v>0</v>
      </c>
    </row>
    <row r="32" spans="1:13" x14ac:dyDescent="0.2">
      <c r="A32" s="213">
        <f t="shared" si="0"/>
        <v>28</v>
      </c>
      <c r="B32" s="330"/>
      <c r="C32" s="817">
        <v>0</v>
      </c>
      <c r="D32" s="818">
        <f t="shared" si="1"/>
        <v>0</v>
      </c>
      <c r="E32" s="817">
        <v>0</v>
      </c>
      <c r="F32" s="819">
        <f t="shared" si="2"/>
        <v>0</v>
      </c>
      <c r="G32" s="29"/>
      <c r="H32" s="213">
        <f t="shared" si="5"/>
        <v>64</v>
      </c>
      <c r="I32" s="330"/>
      <c r="J32" s="817">
        <v>0</v>
      </c>
      <c r="K32" s="818">
        <f t="shared" si="3"/>
        <v>0</v>
      </c>
      <c r="L32" s="817">
        <v>0</v>
      </c>
      <c r="M32" s="819">
        <f t="shared" si="4"/>
        <v>0</v>
      </c>
    </row>
    <row r="33" spans="1:13" x14ac:dyDescent="0.2">
      <c r="A33" s="213">
        <f t="shared" si="0"/>
        <v>29</v>
      </c>
      <c r="B33" s="330"/>
      <c r="C33" s="817">
        <v>0</v>
      </c>
      <c r="D33" s="818">
        <f t="shared" si="1"/>
        <v>0</v>
      </c>
      <c r="E33" s="817">
        <v>0</v>
      </c>
      <c r="F33" s="819">
        <f t="shared" si="2"/>
        <v>0</v>
      </c>
      <c r="G33" s="29"/>
      <c r="H33" s="213">
        <f t="shared" si="5"/>
        <v>65</v>
      </c>
      <c r="I33" s="330"/>
      <c r="J33" s="817">
        <v>0</v>
      </c>
      <c r="K33" s="818">
        <f t="shared" si="3"/>
        <v>0</v>
      </c>
      <c r="L33" s="817">
        <v>0</v>
      </c>
      <c r="M33" s="819">
        <f t="shared" si="4"/>
        <v>0</v>
      </c>
    </row>
    <row r="34" spans="1:13" x14ac:dyDescent="0.2">
      <c r="A34" s="213">
        <f t="shared" si="0"/>
        <v>30</v>
      </c>
      <c r="B34" s="330"/>
      <c r="C34" s="817">
        <v>0</v>
      </c>
      <c r="D34" s="818">
        <f t="shared" si="1"/>
        <v>0</v>
      </c>
      <c r="E34" s="817">
        <v>0</v>
      </c>
      <c r="F34" s="819">
        <f t="shared" si="2"/>
        <v>0</v>
      </c>
      <c r="G34" s="29"/>
      <c r="H34" s="213">
        <f t="shared" si="5"/>
        <v>66</v>
      </c>
      <c r="I34" s="330"/>
      <c r="J34" s="817">
        <v>0</v>
      </c>
      <c r="K34" s="818">
        <f t="shared" si="3"/>
        <v>0</v>
      </c>
      <c r="L34" s="817">
        <v>0</v>
      </c>
      <c r="M34" s="819">
        <f t="shared" si="4"/>
        <v>0</v>
      </c>
    </row>
    <row r="35" spans="1:13" x14ac:dyDescent="0.2">
      <c r="A35" s="213">
        <f t="shared" si="0"/>
        <v>31</v>
      </c>
      <c r="B35" s="330"/>
      <c r="C35" s="817">
        <v>0</v>
      </c>
      <c r="D35" s="818">
        <f t="shared" si="1"/>
        <v>0</v>
      </c>
      <c r="E35" s="817">
        <v>0</v>
      </c>
      <c r="F35" s="819">
        <f t="shared" si="2"/>
        <v>0</v>
      </c>
      <c r="G35" s="29"/>
      <c r="H35" s="213">
        <f t="shared" si="5"/>
        <v>67</v>
      </c>
      <c r="I35" s="330"/>
      <c r="J35" s="817">
        <v>0</v>
      </c>
      <c r="K35" s="818">
        <f t="shared" si="3"/>
        <v>0</v>
      </c>
      <c r="L35" s="817">
        <v>0</v>
      </c>
      <c r="M35" s="819">
        <f t="shared" si="4"/>
        <v>0</v>
      </c>
    </row>
    <row r="36" spans="1:13" x14ac:dyDescent="0.2">
      <c r="A36" s="213">
        <f t="shared" si="0"/>
        <v>32</v>
      </c>
      <c r="B36" s="330"/>
      <c r="C36" s="817">
        <v>0</v>
      </c>
      <c r="D36" s="818">
        <f t="shared" si="1"/>
        <v>0</v>
      </c>
      <c r="E36" s="817">
        <v>0</v>
      </c>
      <c r="F36" s="819">
        <f t="shared" si="2"/>
        <v>0</v>
      </c>
      <c r="G36" s="29"/>
      <c r="H36" s="213">
        <f t="shared" si="5"/>
        <v>68</v>
      </c>
      <c r="I36" s="330"/>
      <c r="J36" s="817">
        <v>0</v>
      </c>
      <c r="K36" s="818">
        <f t="shared" si="3"/>
        <v>0</v>
      </c>
      <c r="L36" s="817">
        <v>0</v>
      </c>
      <c r="M36" s="819">
        <f t="shared" si="4"/>
        <v>0</v>
      </c>
    </row>
    <row r="37" spans="1:13" x14ac:dyDescent="0.2">
      <c r="A37" s="213">
        <f t="shared" si="0"/>
        <v>33</v>
      </c>
      <c r="B37" s="330"/>
      <c r="C37" s="817">
        <v>0</v>
      </c>
      <c r="D37" s="818">
        <f t="shared" si="1"/>
        <v>0</v>
      </c>
      <c r="E37" s="817">
        <v>0</v>
      </c>
      <c r="F37" s="819">
        <f t="shared" si="2"/>
        <v>0</v>
      </c>
      <c r="G37" s="29"/>
      <c r="H37" s="213">
        <f t="shared" si="5"/>
        <v>69</v>
      </c>
      <c r="I37" s="330"/>
      <c r="J37" s="817">
        <v>0</v>
      </c>
      <c r="K37" s="818">
        <f t="shared" si="3"/>
        <v>0</v>
      </c>
      <c r="L37" s="817">
        <v>0</v>
      </c>
      <c r="M37" s="819">
        <f t="shared" si="4"/>
        <v>0</v>
      </c>
    </row>
    <row r="38" spans="1:13" x14ac:dyDescent="0.2">
      <c r="A38" s="213">
        <f t="shared" si="0"/>
        <v>34</v>
      </c>
      <c r="B38" s="330"/>
      <c r="C38" s="817">
        <v>0</v>
      </c>
      <c r="D38" s="818">
        <f t="shared" si="1"/>
        <v>0</v>
      </c>
      <c r="E38" s="817">
        <v>0</v>
      </c>
      <c r="F38" s="819">
        <f t="shared" si="2"/>
        <v>0</v>
      </c>
      <c r="G38" s="29"/>
      <c r="H38" s="213">
        <f t="shared" si="5"/>
        <v>70</v>
      </c>
      <c r="I38" s="330"/>
      <c r="J38" s="817">
        <v>0</v>
      </c>
      <c r="K38" s="818">
        <f t="shared" si="3"/>
        <v>0</v>
      </c>
      <c r="L38" s="817">
        <v>0</v>
      </c>
      <c r="M38" s="819">
        <f t="shared" si="4"/>
        <v>0</v>
      </c>
    </row>
    <row r="39" spans="1:13" x14ac:dyDescent="0.2">
      <c r="A39" s="213">
        <f t="shared" si="0"/>
        <v>35</v>
      </c>
      <c r="B39" s="330"/>
      <c r="C39" s="817">
        <v>0</v>
      </c>
      <c r="D39" s="818">
        <f t="shared" si="1"/>
        <v>0</v>
      </c>
      <c r="E39" s="817">
        <v>0</v>
      </c>
      <c r="F39" s="819">
        <f t="shared" si="2"/>
        <v>0</v>
      </c>
      <c r="G39" s="29"/>
      <c r="H39" s="213">
        <f t="shared" si="5"/>
        <v>71</v>
      </c>
      <c r="I39" s="330"/>
      <c r="J39" s="817">
        <v>0</v>
      </c>
      <c r="K39" s="818">
        <f t="shared" si="3"/>
        <v>0</v>
      </c>
      <c r="L39" s="817">
        <v>0</v>
      </c>
      <c r="M39" s="819">
        <f t="shared" si="4"/>
        <v>0</v>
      </c>
    </row>
    <row r="40" spans="1:13" x14ac:dyDescent="0.2">
      <c r="A40" s="213">
        <f t="shared" si="0"/>
        <v>36</v>
      </c>
      <c r="B40" s="330"/>
      <c r="C40" s="817">
        <v>0</v>
      </c>
      <c r="D40" s="818">
        <f t="shared" si="1"/>
        <v>0</v>
      </c>
      <c r="E40" s="817">
        <v>0</v>
      </c>
      <c r="F40" s="819">
        <f t="shared" si="2"/>
        <v>0</v>
      </c>
      <c r="G40" s="29"/>
      <c r="H40" s="213">
        <f t="shared" si="5"/>
        <v>72</v>
      </c>
      <c r="I40" s="330"/>
      <c r="J40" s="817">
        <v>0</v>
      </c>
      <c r="K40" s="818">
        <f t="shared" si="3"/>
        <v>0</v>
      </c>
      <c r="L40" s="817">
        <v>0</v>
      </c>
      <c r="M40" s="819">
        <f t="shared" si="4"/>
        <v>0</v>
      </c>
    </row>
    <row r="41" spans="1:13" ht="15.75" thickBot="1" x14ac:dyDescent="0.25">
      <c r="A41" s="213">
        <f t="shared" si="0"/>
        <v>37</v>
      </c>
      <c r="B41" s="330"/>
      <c r="C41" s="817">
        <v>0</v>
      </c>
      <c r="D41" s="818">
        <f t="shared" si="1"/>
        <v>0</v>
      </c>
      <c r="E41" s="817">
        <v>0</v>
      </c>
      <c r="F41" s="819">
        <f t="shared" si="2"/>
        <v>0</v>
      </c>
      <c r="G41" s="29"/>
      <c r="H41" s="213">
        <f t="shared" si="5"/>
        <v>73</v>
      </c>
      <c r="I41" s="330"/>
      <c r="J41" s="817">
        <v>0</v>
      </c>
      <c r="K41" s="818">
        <f t="shared" si="3"/>
        <v>0</v>
      </c>
      <c r="L41" s="817">
        <v>0</v>
      </c>
      <c r="M41" s="819">
        <f t="shared" si="4"/>
        <v>0</v>
      </c>
    </row>
    <row r="42" spans="1:13" ht="16.5" thickTop="1" thickBot="1" x14ac:dyDescent="0.25">
      <c r="A42" s="216" t="s">
        <v>5</v>
      </c>
      <c r="B42" s="327"/>
      <c r="C42" s="820">
        <f>SUM(C5:C41)</f>
        <v>0</v>
      </c>
      <c r="D42" s="820">
        <f>SUM(D5:D41)</f>
        <v>0</v>
      </c>
      <c r="E42" s="820">
        <f>SUM(E5:E41)</f>
        <v>0</v>
      </c>
      <c r="F42" s="821">
        <f>SUM(F5:F41)</f>
        <v>0</v>
      </c>
      <c r="G42" s="32"/>
      <c r="H42" s="216" t="s">
        <v>606</v>
      </c>
      <c r="I42" s="827">
        <f>J42-K42</f>
        <v>0</v>
      </c>
      <c r="J42" s="820">
        <f>SUM(J5:J41)</f>
        <v>0</v>
      </c>
      <c r="K42" s="820">
        <f>SUM(K5:K41)</f>
        <v>0</v>
      </c>
      <c r="L42" s="820">
        <f>SUM(L5:L41)</f>
        <v>0</v>
      </c>
      <c r="M42" s="821">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0" type="noConversion"/>
  <printOptions horizontalCentered="1"/>
  <pageMargins left="0.74803149606299213" right="0.74803149606299213" top="0.78740157480314965" bottom="0.78740157480314965" header="0.51181102362204722" footer="0.51181102362204722"/>
  <pageSetup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9"/>
  <sheetViews>
    <sheetView zoomScale="75" zoomScaleNormal="75" zoomScaleSheetLayoutView="70" workbookViewId="0">
      <selection activeCell="E9" sqref="E9"/>
    </sheetView>
  </sheetViews>
  <sheetFormatPr defaultRowHeight="15" x14ac:dyDescent="0.2"/>
  <cols>
    <col min="1" max="1" width="9.88671875" customWidth="1"/>
    <col min="2" max="2" width="10.21875" customWidth="1"/>
    <col min="3" max="3" width="10.5546875" customWidth="1"/>
    <col min="4" max="4" width="22.21875" customWidth="1"/>
    <col min="5" max="5" width="17.33203125" customWidth="1"/>
    <col min="6" max="6" width="17.5546875" customWidth="1"/>
    <col min="7" max="7" width="16.5546875" customWidth="1"/>
    <col min="8" max="8" width="17.109375" customWidth="1"/>
    <col min="9" max="9" width="5.88671875" customWidth="1"/>
    <col min="10" max="10" width="9.44140625" customWidth="1"/>
  </cols>
  <sheetData>
    <row r="1" spans="1:10" ht="15.75" thickTop="1" x14ac:dyDescent="0.2">
      <c r="A1" s="159"/>
      <c r="B1" s="126"/>
      <c r="C1" s="126"/>
      <c r="D1" s="126"/>
      <c r="E1" s="126"/>
      <c r="F1" s="126"/>
      <c r="G1" s="126"/>
      <c r="H1" s="127"/>
    </row>
    <row r="2" spans="1:10" ht="23.25" x14ac:dyDescent="0.2">
      <c r="A2" s="128"/>
      <c r="B2" s="578" t="s">
        <v>116</v>
      </c>
      <c r="D2" s="124"/>
      <c r="E2" s="124"/>
      <c r="F2" s="124"/>
      <c r="G2" s="124"/>
      <c r="H2" s="130"/>
    </row>
    <row r="3" spans="1:10" ht="31.5" customHeight="1" x14ac:dyDescent="0.2">
      <c r="A3" s="595"/>
      <c r="B3" s="725"/>
      <c r="C3" s="725"/>
      <c r="D3" s="918" t="str">
        <f>'Input Data'!E2</f>
        <v xml:space="preserve">STRUCTURAL ENGINEERING  </v>
      </c>
      <c r="E3" s="914"/>
      <c r="F3" s="919"/>
      <c r="G3" s="255" t="s">
        <v>114</v>
      </c>
      <c r="H3" s="577">
        <f>'Input Data'!D28</f>
        <v>0</v>
      </c>
    </row>
    <row r="4" spans="1:10" ht="29.25" customHeight="1" x14ac:dyDescent="0.2">
      <c r="A4" s="128"/>
      <c r="B4" s="158"/>
      <c r="C4" s="158"/>
      <c r="D4" s="918" t="str">
        <f>'Input Data'!E3</f>
        <v>ENGINEERING PROJECT:  2012 NDPW FEES</v>
      </c>
      <c r="E4" s="919"/>
      <c r="F4" s="919"/>
      <c r="G4" s="919"/>
      <c r="H4" s="925" t="str">
        <f>'Input Data'!H4</f>
        <v>Version: 1.1  2012-10</v>
      </c>
      <c r="I4" s="569"/>
    </row>
    <row r="5" spans="1:10" x14ac:dyDescent="0.2">
      <c r="A5" s="595"/>
      <c r="C5" s="124"/>
      <c r="D5" s="124"/>
      <c r="E5" s="124"/>
      <c r="F5" s="124"/>
      <c r="G5" s="124"/>
      <c r="H5" s="130"/>
    </row>
    <row r="6" spans="1:10" x14ac:dyDescent="0.2">
      <c r="A6" s="128"/>
      <c r="B6" s="124"/>
      <c r="C6" s="124"/>
      <c r="D6" s="124"/>
      <c r="E6" s="124"/>
      <c r="F6" s="124"/>
      <c r="G6" s="124"/>
      <c r="H6" s="130"/>
    </row>
    <row r="7" spans="1:10" x14ac:dyDescent="0.2">
      <c r="A7" s="128"/>
      <c r="B7" s="124"/>
      <c r="C7" s="124"/>
      <c r="D7" s="124"/>
      <c r="E7" s="491"/>
      <c r="F7" s="124"/>
      <c r="G7" s="491"/>
      <c r="H7" s="130"/>
    </row>
    <row r="8" spans="1:10" ht="18" x14ac:dyDescent="0.2">
      <c r="A8" s="2036" t="s">
        <v>252</v>
      </c>
      <c r="B8" s="2037"/>
      <c r="C8" s="2038">
        <f>'Input Data'!D6</f>
        <v>0</v>
      </c>
      <c r="D8" s="2039"/>
      <c r="E8" s="491"/>
      <c r="F8" s="2045" t="str">
        <f>'Input Data'!D32</f>
        <v>DETAIL DESIGN</v>
      </c>
      <c r="G8" s="2046"/>
      <c r="H8" s="594" t="s">
        <v>118</v>
      </c>
      <c r="I8" s="27"/>
    </row>
    <row r="9" spans="1:10" ht="19.5" x14ac:dyDescent="0.2">
      <c r="A9" s="365"/>
      <c r="B9" s="2043" t="s">
        <v>473</v>
      </c>
      <c r="C9" s="2044"/>
      <c r="D9" s="2044"/>
      <c r="E9" s="1640">
        <f>'Input Data'!D29</f>
        <v>0</v>
      </c>
      <c r="F9" s="124"/>
      <c r="G9" s="124"/>
      <c r="H9" s="396"/>
      <c r="I9" s="27"/>
    </row>
    <row r="10" spans="1:10" ht="15.75" x14ac:dyDescent="0.2">
      <c r="A10" s="2036" t="s">
        <v>332</v>
      </c>
      <c r="B10" s="2042"/>
      <c r="C10" s="2047">
        <f>'Input Data'!D13</f>
        <v>0</v>
      </c>
      <c r="D10" s="2048"/>
      <c r="E10" s="2049"/>
      <c r="F10" s="2048"/>
      <c r="G10" s="434"/>
      <c r="H10" s="552"/>
    </row>
    <row r="11" spans="1:10" ht="24" customHeight="1" x14ac:dyDescent="0.2">
      <c r="A11" s="254" t="s">
        <v>244</v>
      </c>
      <c r="B11" s="2040">
        <f>'Input Data'!D12</f>
        <v>0</v>
      </c>
      <c r="C11" s="2041"/>
      <c r="D11" s="2041"/>
      <c r="E11" s="2041"/>
      <c r="F11" s="2041"/>
      <c r="G11" s="2041"/>
      <c r="H11" s="366"/>
    </row>
    <row r="12" spans="1:10" ht="15.75" thickBot="1" x14ac:dyDescent="0.25">
      <c r="A12" s="128"/>
      <c r="B12" s="124"/>
      <c r="C12" s="124"/>
      <c r="D12" s="124"/>
      <c r="E12" s="124"/>
      <c r="F12" s="491"/>
      <c r="G12" s="124"/>
      <c r="H12" s="130"/>
    </row>
    <row r="13" spans="1:10" ht="93.75" customHeight="1" thickTop="1" thickBot="1" x14ac:dyDescent="0.25">
      <c r="A13" s="2014" t="s">
        <v>351</v>
      </c>
      <c r="B13" s="2015"/>
      <c r="C13" s="2015"/>
      <c r="D13" s="2016"/>
      <c r="E13" s="938" t="s">
        <v>394</v>
      </c>
      <c r="F13" s="938" t="s">
        <v>395</v>
      </c>
      <c r="G13" s="939" t="s">
        <v>396</v>
      </c>
      <c r="H13" s="580" t="s">
        <v>123</v>
      </c>
    </row>
    <row r="14" spans="1:10" ht="39.950000000000003" customHeight="1" thickTop="1" x14ac:dyDescent="0.2">
      <c r="A14" s="1779" t="s">
        <v>182</v>
      </c>
      <c r="B14" s="1780"/>
      <c r="C14" s="1780"/>
      <c r="D14" s="1780"/>
      <c r="E14" s="898"/>
      <c r="F14" s="898"/>
      <c r="G14" s="935"/>
      <c r="H14" s="797">
        <f>IF('Input Data'!$E$10="e",IF('Input Data'!$F$32&lt;5,E14,IF('Input Data'!$F$32=5,F14,IF('Input Data'!$F$32=6,G14))))</f>
        <v>0</v>
      </c>
      <c r="J14" s="3"/>
    </row>
    <row r="15" spans="1:10" ht="39.950000000000003" customHeight="1" x14ac:dyDescent="0.2">
      <c r="A15" s="1741" t="s">
        <v>168</v>
      </c>
      <c r="B15" s="1744"/>
      <c r="C15" s="1744"/>
      <c r="D15" s="1744"/>
      <c r="E15" s="898"/>
      <c r="F15" s="898"/>
      <c r="G15" s="935"/>
      <c r="H15" s="798">
        <f>IF('Input Data'!$E$10="e",IF('Input Data'!$F$32&lt;5,E15,IF('Input Data'!$F$32=5,F15,IF('Input Data'!$F$32=6,G15))))</f>
        <v>0</v>
      </c>
      <c r="J15" s="3"/>
    </row>
    <row r="16" spans="1:10" ht="39.950000000000003" customHeight="1" x14ac:dyDescent="0.2">
      <c r="A16" s="1741" t="s">
        <v>176</v>
      </c>
      <c r="B16" s="1742"/>
      <c r="C16" s="1742"/>
      <c r="D16" s="1742"/>
      <c r="E16" s="898"/>
      <c r="F16" s="898"/>
      <c r="G16" s="935"/>
      <c r="H16" s="798">
        <f>IF('Input Data'!$E$10="e",IF('Input Data'!$F$32&lt;5,E16,IF('Input Data'!$F$32=5,F16,IF('Input Data'!$F$32=6,G16))))</f>
        <v>0</v>
      </c>
      <c r="J16" s="3"/>
    </row>
    <row r="17" spans="1:10" ht="51" customHeight="1" x14ac:dyDescent="0.2">
      <c r="A17" s="1741" t="s">
        <v>169</v>
      </c>
      <c r="B17" s="1744"/>
      <c r="C17" s="1744"/>
      <c r="D17" s="1744"/>
      <c r="E17" s="898"/>
      <c r="F17" s="898"/>
      <c r="G17" s="935"/>
      <c r="H17" s="798">
        <f>IF('Input Data'!$E$10="e",IF('Input Data'!$F$32&lt;5,E17,IF('Input Data'!$F$32=5,F17,IF('Input Data'!$F$32=6,G17))))</f>
        <v>0</v>
      </c>
      <c r="J17" s="3"/>
    </row>
    <row r="18" spans="1:10" ht="48" customHeight="1" x14ac:dyDescent="0.2">
      <c r="A18" s="1741" t="s">
        <v>177</v>
      </c>
      <c r="B18" s="1742"/>
      <c r="C18" s="1742"/>
      <c r="D18" s="1742"/>
      <c r="E18" s="898"/>
      <c r="F18" s="898"/>
      <c r="G18" s="935"/>
      <c r="H18" s="798">
        <f>IF('Input Data'!$E$10="e",IF('Input Data'!$F$32&lt;5,E18,IF('Input Data'!$F$32=5,F18,IF('Input Data'!$F$32=6,G18))))</f>
        <v>0</v>
      </c>
      <c r="J18" s="3"/>
    </row>
    <row r="19" spans="1:10" ht="49.5" customHeight="1" x14ac:dyDescent="0.2">
      <c r="A19" s="1741" t="s">
        <v>170</v>
      </c>
      <c r="B19" s="1742"/>
      <c r="C19" s="1742"/>
      <c r="D19" s="1742"/>
      <c r="E19" s="898"/>
      <c r="F19" s="898"/>
      <c r="G19" s="935"/>
      <c r="H19" s="798">
        <f>IF('Input Data'!$E$10="e",IF('Input Data'!$F$32&lt;5,E19,IF('Input Data'!$F$32=5,F19,IF('Input Data'!$F$32=6,G19))))</f>
        <v>0</v>
      </c>
      <c r="J19" s="3"/>
    </row>
    <row r="20" spans="1:10" ht="39.950000000000003" customHeight="1" x14ac:dyDescent="0.2">
      <c r="A20" s="1741" t="s">
        <v>179</v>
      </c>
      <c r="B20" s="1742"/>
      <c r="C20" s="1742"/>
      <c r="D20" s="1742"/>
      <c r="E20" s="898"/>
      <c r="F20" s="898"/>
      <c r="G20" s="935"/>
      <c r="H20" s="798">
        <f>IF('Input Data'!$E$10="e",IF('Input Data'!$F$32&lt;5,E20,IF('Input Data'!$F$32=5,F20,IF('Input Data'!$F$32=6,G20))))</f>
        <v>0</v>
      </c>
      <c r="J20" s="3"/>
    </row>
    <row r="21" spans="1:10" ht="48" customHeight="1" thickBot="1" x14ac:dyDescent="0.25">
      <c r="A21" s="1779" t="s">
        <v>178</v>
      </c>
      <c r="B21" s="1792"/>
      <c r="C21" s="1792"/>
      <c r="D21" s="1792"/>
      <c r="E21" s="898"/>
      <c r="F21" s="898"/>
      <c r="G21" s="935"/>
      <c r="H21" s="799">
        <f>IF('Input Data'!$E$10="e",IF('Input Data'!$F$32&lt;5,E21,IF('Input Data'!$F$32=5,F21,IF('Input Data'!$F$32=6,G21))))</f>
        <v>0</v>
      </c>
      <c r="J21" s="3"/>
    </row>
    <row r="22" spans="1:10" ht="51" customHeight="1" thickBot="1" x14ac:dyDescent="0.25">
      <c r="A22" s="2020" t="s">
        <v>260</v>
      </c>
      <c r="B22" s="2021"/>
      <c r="C22" s="2021"/>
      <c r="D22" s="2030"/>
      <c r="E22" s="936">
        <f>SUM(E14:E21)</f>
        <v>0</v>
      </c>
      <c r="F22" s="936">
        <f>SUM(F14:F21)</f>
        <v>0</v>
      </c>
      <c r="G22" s="937">
        <f>SUM(G14:G21)</f>
        <v>0</v>
      </c>
      <c r="H22" s="920">
        <f>SUM(H14:H21)</f>
        <v>0</v>
      </c>
    </row>
    <row r="23" spans="1:10" ht="41.25" customHeight="1" thickTop="1" thickBot="1" x14ac:dyDescent="0.25">
      <c r="A23" s="2031" t="str">
        <f>IF(C27=6,IF(H22=H28,"","THE VALUE OF ( C) MUST BE THE SAME AS (D)"),"")</f>
        <v/>
      </c>
      <c r="B23" s="2032"/>
      <c r="C23" s="2032"/>
      <c r="D23" s="2033"/>
      <c r="E23" s="2033"/>
      <c r="F23" s="492"/>
      <c r="G23" s="492"/>
      <c r="H23" s="493"/>
    </row>
    <row r="24" spans="1:10" ht="15.75" thickBot="1" x14ac:dyDescent="0.25">
      <c r="A24" s="2024"/>
      <c r="B24" s="2025"/>
      <c r="C24" s="2025"/>
      <c r="D24" s="2025"/>
      <c r="E24" s="293"/>
      <c r="F24" s="294"/>
      <c r="G24" s="295"/>
      <c r="H24" s="296"/>
    </row>
    <row r="25" spans="1:10" ht="63" customHeight="1" thickTop="1" thickBot="1" x14ac:dyDescent="0.25">
      <c r="A25" s="2026" t="s">
        <v>352</v>
      </c>
      <c r="B25" s="2027"/>
      <c r="C25" s="2027"/>
      <c r="D25" s="2028"/>
      <c r="E25" s="2029"/>
      <c r="F25" s="2029"/>
      <c r="G25" s="575" t="s">
        <v>265</v>
      </c>
      <c r="H25" s="581" t="s">
        <v>123</v>
      </c>
    </row>
    <row r="26" spans="1:10" ht="42" customHeight="1" thickTop="1" x14ac:dyDescent="0.2">
      <c r="A26" s="1900" t="s">
        <v>171</v>
      </c>
      <c r="B26" s="1901"/>
      <c r="C26" s="1901"/>
      <c r="D26" s="1901"/>
      <c r="E26" s="2034"/>
      <c r="F26" s="2035"/>
      <c r="G26" s="921"/>
      <c r="H26" s="802">
        <f>IF('Input Data'!$F$32&gt;4,G26,0)</f>
        <v>0</v>
      </c>
    </row>
    <row r="27" spans="1:10" ht="40.5" customHeight="1" thickBot="1" x14ac:dyDescent="0.25">
      <c r="A27" s="2017" t="s">
        <v>180</v>
      </c>
      <c r="B27" s="2018"/>
      <c r="C27" s="2018"/>
      <c r="D27" s="2018"/>
      <c r="E27" s="2019"/>
      <c r="F27" s="2019"/>
      <c r="G27" s="922"/>
      <c r="H27" s="803">
        <f>IF('Input Data'!$F$32&gt;4,G27,0)</f>
        <v>0</v>
      </c>
    </row>
    <row r="28" spans="1:10" ht="44.25" customHeight="1" thickBot="1" x14ac:dyDescent="0.25">
      <c r="A28" s="2020" t="s">
        <v>261</v>
      </c>
      <c r="B28" s="2021"/>
      <c r="C28" s="2021"/>
      <c r="D28" s="2022"/>
      <c r="E28" s="2023"/>
      <c r="F28" s="2023"/>
      <c r="G28" s="923">
        <f>G26+G27</f>
        <v>0</v>
      </c>
      <c r="H28" s="924">
        <f>H26+H27</f>
        <v>0</v>
      </c>
    </row>
    <row r="29" spans="1:10" ht="15.75" thickTop="1" x14ac:dyDescent="0.2"/>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23">
    <mergeCell ref="A8:B8"/>
    <mergeCell ref="C8:D8"/>
    <mergeCell ref="B11:G11"/>
    <mergeCell ref="A10:B10"/>
    <mergeCell ref="B9:D9"/>
    <mergeCell ref="F8:G8"/>
    <mergeCell ref="C10:F10"/>
    <mergeCell ref="A28:F28"/>
    <mergeCell ref="A24:D24"/>
    <mergeCell ref="A25:F25"/>
    <mergeCell ref="A20:D20"/>
    <mergeCell ref="A21:D21"/>
    <mergeCell ref="A22:D22"/>
    <mergeCell ref="A23:E23"/>
    <mergeCell ref="A26:F26"/>
    <mergeCell ref="A13:D13"/>
    <mergeCell ref="A27:F27"/>
    <mergeCell ref="A16:D16"/>
    <mergeCell ref="A18:D18"/>
    <mergeCell ref="A19:D19"/>
    <mergeCell ref="A14:D14"/>
    <mergeCell ref="A15:D15"/>
    <mergeCell ref="A17:D17"/>
  </mergeCells>
  <phoneticPr fontId="0" type="noConversion"/>
  <printOptions horizontalCentered="1"/>
  <pageMargins left="0.74803149606299213" right="0.74803149606299213" top="0.78740157480314965" bottom="0.78740157480314965" header="0.51181102362204722" footer="0.51181102362204722"/>
  <pageSetup paperSize="8" scale="59" orientation="portrait" r:id="rId2"/>
  <headerFooter alignWithMargins="0">
    <oddFooter>&amp;L&amp;8&amp;A(&amp;F)&amp;C&amp;P&amp;R&amp;8&amp;D</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9"/>
  <sheetViews>
    <sheetView zoomScale="75" zoomScaleNormal="75" zoomScaleSheetLayoutView="70" workbookViewId="0">
      <selection activeCell="E7" sqref="E7"/>
    </sheetView>
  </sheetViews>
  <sheetFormatPr defaultRowHeight="15" x14ac:dyDescent="0.2"/>
  <cols>
    <col min="1" max="1" width="9.88671875" customWidth="1"/>
    <col min="2" max="2" width="10.21875" customWidth="1"/>
    <col min="3" max="3" width="10.5546875" customWidth="1"/>
    <col min="4" max="4" width="22.21875" customWidth="1"/>
    <col min="5" max="5" width="17.33203125" customWidth="1"/>
    <col min="6" max="6" width="17.5546875" customWidth="1"/>
    <col min="7" max="7" width="16.5546875" customWidth="1"/>
    <col min="8" max="8" width="17.109375" customWidth="1"/>
    <col min="9" max="9" width="5.88671875" customWidth="1"/>
    <col min="10" max="10" width="9.44140625" customWidth="1"/>
  </cols>
  <sheetData>
    <row r="1" spans="1:10" ht="15.75" thickTop="1" x14ac:dyDescent="0.2">
      <c r="A1" s="642"/>
      <c r="B1" s="496"/>
      <c r="C1" s="496"/>
      <c r="D1" s="496"/>
      <c r="E1" s="496"/>
      <c r="F1" s="496"/>
      <c r="G1" s="496"/>
      <c r="H1" s="600"/>
    </row>
    <row r="2" spans="1:10" ht="23.25" x14ac:dyDescent="0.2">
      <c r="A2" s="377"/>
      <c r="B2" s="643" t="s">
        <v>116</v>
      </c>
      <c r="C2" s="644"/>
      <c r="D2" s="29"/>
      <c r="E2" s="29"/>
      <c r="F2" s="29"/>
      <c r="G2" s="29"/>
      <c r="H2" s="384"/>
    </row>
    <row r="3" spans="1:10" ht="31.5" customHeight="1" x14ac:dyDescent="0.2">
      <c r="A3" s="724"/>
      <c r="B3" s="725"/>
      <c r="C3" s="725"/>
      <c r="D3" s="916" t="s">
        <v>359</v>
      </c>
      <c r="E3" s="916"/>
      <c r="F3" s="917"/>
      <c r="G3" s="517" t="s">
        <v>114</v>
      </c>
      <c r="H3" s="646">
        <f>'Worked Example'!D27</f>
        <v>41243</v>
      </c>
    </row>
    <row r="4" spans="1:10" ht="29.25" customHeight="1" x14ac:dyDescent="0.2">
      <c r="A4" s="377"/>
      <c r="B4" s="645"/>
      <c r="C4" s="645"/>
      <c r="D4" s="918" t="str">
        <f>'Input Data'!E3</f>
        <v>ENGINEERING PROJECT:  2012 NDPW FEES</v>
      </c>
      <c r="E4" s="915"/>
      <c r="F4" s="915"/>
      <c r="G4" s="915"/>
      <c r="H4" s="647" t="str">
        <f>'Input Data'!H4</f>
        <v>Version: 1.1  2012-10</v>
      </c>
      <c r="I4" s="569"/>
    </row>
    <row r="5" spans="1:10" x14ac:dyDescent="0.2">
      <c r="A5" s="648"/>
      <c r="B5" s="644"/>
      <c r="C5" s="29"/>
      <c r="D5" s="29"/>
      <c r="E5" s="29"/>
      <c r="F5" s="29"/>
      <c r="G5" s="29"/>
      <c r="H5" s="384"/>
    </row>
    <row r="6" spans="1:10" x14ac:dyDescent="0.2">
      <c r="A6" s="377"/>
      <c r="B6" s="29"/>
      <c r="C6" s="29"/>
      <c r="D6" s="29"/>
      <c r="E6" s="29"/>
      <c r="F6" s="29"/>
      <c r="G6" s="29"/>
      <c r="H6" s="384"/>
    </row>
    <row r="7" spans="1:10" x14ac:dyDescent="0.2">
      <c r="A7" s="377"/>
      <c r="B7" s="29"/>
      <c r="C7" s="29"/>
      <c r="D7" s="29"/>
      <c r="E7" s="649"/>
      <c r="F7" s="29"/>
      <c r="G7" s="649"/>
      <c r="H7" s="384"/>
    </row>
    <row r="8" spans="1:10" ht="18" x14ac:dyDescent="0.2">
      <c r="A8" s="2053" t="s">
        <v>252</v>
      </c>
      <c r="B8" s="2054"/>
      <c r="C8" s="2055">
        <f>'Worked Example'!D5</f>
        <v>79867</v>
      </c>
      <c r="D8" s="2056"/>
      <c r="E8" s="649"/>
      <c r="F8" s="2058" t="s">
        <v>281</v>
      </c>
      <c r="G8" s="2059"/>
      <c r="H8" s="1724" t="s">
        <v>118</v>
      </c>
      <c r="I8" s="27"/>
    </row>
    <row r="9" spans="1:10" ht="19.5" x14ac:dyDescent="0.2">
      <c r="A9" s="651"/>
      <c r="B9" s="2043" t="s">
        <v>473</v>
      </c>
      <c r="C9" s="2057"/>
      <c r="D9" s="2057"/>
      <c r="E9" s="1725">
        <f>'Worked Example'!D28</f>
        <v>10</v>
      </c>
      <c r="F9" s="29"/>
      <c r="G9" s="29"/>
      <c r="H9" s="652"/>
      <c r="I9" s="27"/>
    </row>
    <row r="10" spans="1:10" ht="15.75" x14ac:dyDescent="0.2">
      <c r="A10" s="2053" t="s">
        <v>332</v>
      </c>
      <c r="B10" s="1927"/>
      <c r="C10" s="2060" t="s">
        <v>320</v>
      </c>
      <c r="D10" s="2061"/>
      <c r="E10" s="2062"/>
      <c r="F10" s="2061"/>
      <c r="G10" s="653"/>
      <c r="H10" s="654"/>
    </row>
    <row r="11" spans="1:10" ht="24" customHeight="1" x14ac:dyDescent="0.2">
      <c r="A11" s="650" t="s">
        <v>244</v>
      </c>
      <c r="B11" s="2050" t="str">
        <f>'Worked Example'!D11</f>
        <v>Nelspruit Police Station</v>
      </c>
      <c r="C11" s="2051"/>
      <c r="D11" s="2051"/>
      <c r="E11" s="2051"/>
      <c r="F11" s="2051"/>
      <c r="G11" s="2052"/>
      <c r="H11" s="950"/>
    </row>
    <row r="12" spans="1:10" ht="15.75" thickBot="1" x14ac:dyDescent="0.25">
      <c r="A12" s="377"/>
      <c r="B12" s="29"/>
      <c r="C12" s="29"/>
      <c r="D12" s="29"/>
      <c r="E12" s="29"/>
      <c r="F12" s="649"/>
      <c r="G12" s="29"/>
      <c r="H12" s="384"/>
    </row>
    <row r="13" spans="1:10" ht="93.75" customHeight="1" thickTop="1" thickBot="1" x14ac:dyDescent="0.25">
      <c r="A13" s="2014" t="s">
        <v>351</v>
      </c>
      <c r="B13" s="2015"/>
      <c r="C13" s="2015"/>
      <c r="D13" s="2016"/>
      <c r="E13" s="579" t="s">
        <v>353</v>
      </c>
      <c r="F13" s="579" t="s">
        <v>354</v>
      </c>
      <c r="G13" s="579" t="s">
        <v>355</v>
      </c>
      <c r="H13" s="580" t="s">
        <v>123</v>
      </c>
    </row>
    <row r="14" spans="1:10" ht="39.950000000000003" customHeight="1" thickTop="1" x14ac:dyDescent="0.2">
      <c r="A14" s="1779" t="s">
        <v>182</v>
      </c>
      <c r="B14" s="1780"/>
      <c r="C14" s="1780"/>
      <c r="D14" s="1780"/>
      <c r="E14" s="806">
        <v>1000000</v>
      </c>
      <c r="F14" s="806">
        <v>1000000</v>
      </c>
      <c r="G14" s="806">
        <v>1000000</v>
      </c>
      <c r="H14" s="797">
        <v>1000000</v>
      </c>
      <c r="J14" s="3"/>
    </row>
    <row r="15" spans="1:10" ht="39.950000000000003" customHeight="1" x14ac:dyDescent="0.2">
      <c r="A15" s="1741" t="s">
        <v>168</v>
      </c>
      <c r="B15" s="1744"/>
      <c r="C15" s="1744"/>
      <c r="D15" s="1744"/>
      <c r="E15" s="806">
        <v>200000</v>
      </c>
      <c r="F15" s="806">
        <v>200000</v>
      </c>
      <c r="G15" s="806">
        <v>200000</v>
      </c>
      <c r="H15" s="798">
        <v>200000</v>
      </c>
      <c r="J15" s="3"/>
    </row>
    <row r="16" spans="1:10" ht="39.950000000000003" customHeight="1" x14ac:dyDescent="0.2">
      <c r="A16" s="1741" t="s">
        <v>176</v>
      </c>
      <c r="B16" s="1742"/>
      <c r="C16" s="1742"/>
      <c r="D16" s="1742"/>
      <c r="E16" s="806">
        <v>300000</v>
      </c>
      <c r="F16" s="806">
        <v>300000</v>
      </c>
      <c r="G16" s="806">
        <v>300000</v>
      </c>
      <c r="H16" s="798">
        <v>300000</v>
      </c>
      <c r="J16" s="3"/>
    </row>
    <row r="17" spans="1:10" ht="51" customHeight="1" x14ac:dyDescent="0.2">
      <c r="A17" s="1741" t="s">
        <v>169</v>
      </c>
      <c r="B17" s="1744"/>
      <c r="C17" s="1744"/>
      <c r="D17" s="1744"/>
      <c r="E17" s="806">
        <v>400000</v>
      </c>
      <c r="F17" s="806">
        <v>400000</v>
      </c>
      <c r="G17" s="806">
        <v>400000</v>
      </c>
      <c r="H17" s="798">
        <v>400000</v>
      </c>
      <c r="J17" s="3"/>
    </row>
    <row r="18" spans="1:10" ht="48" customHeight="1" x14ac:dyDescent="0.2">
      <c r="A18" s="1741" t="s">
        <v>177</v>
      </c>
      <c r="B18" s="1742"/>
      <c r="C18" s="1742"/>
      <c r="D18" s="1742"/>
      <c r="E18" s="806">
        <v>500000</v>
      </c>
      <c r="F18" s="806">
        <v>500000</v>
      </c>
      <c r="G18" s="806">
        <v>500000</v>
      </c>
      <c r="H18" s="798">
        <v>500000</v>
      </c>
      <c r="J18" s="3"/>
    </row>
    <row r="19" spans="1:10" ht="49.5" customHeight="1" x14ac:dyDescent="0.2">
      <c r="A19" s="1741" t="s">
        <v>170</v>
      </c>
      <c r="B19" s="1742"/>
      <c r="C19" s="1742"/>
      <c r="D19" s="1742"/>
      <c r="E19" s="806">
        <v>600000</v>
      </c>
      <c r="F19" s="806">
        <v>600000</v>
      </c>
      <c r="G19" s="806">
        <v>600000</v>
      </c>
      <c r="H19" s="798">
        <v>600000</v>
      </c>
      <c r="J19" s="3"/>
    </row>
    <row r="20" spans="1:10" ht="39.950000000000003" customHeight="1" x14ac:dyDescent="0.2">
      <c r="A20" s="1741" t="s">
        <v>179</v>
      </c>
      <c r="B20" s="1742"/>
      <c r="C20" s="1742"/>
      <c r="D20" s="1742"/>
      <c r="E20" s="806">
        <v>700000</v>
      </c>
      <c r="F20" s="806">
        <v>700000</v>
      </c>
      <c r="G20" s="806">
        <v>700000</v>
      </c>
      <c r="H20" s="798">
        <v>700000</v>
      </c>
      <c r="J20" s="3"/>
    </row>
    <row r="21" spans="1:10" ht="48" customHeight="1" thickBot="1" x14ac:dyDescent="0.25">
      <c r="A21" s="1779" t="s">
        <v>178</v>
      </c>
      <c r="B21" s="1792"/>
      <c r="C21" s="1792"/>
      <c r="D21" s="1792"/>
      <c r="E21" s="806">
        <v>800000</v>
      </c>
      <c r="F21" s="806">
        <v>800000</v>
      </c>
      <c r="G21" s="806">
        <v>800000</v>
      </c>
      <c r="H21" s="799">
        <v>800000</v>
      </c>
      <c r="J21" s="3"/>
    </row>
    <row r="22" spans="1:10" ht="51" customHeight="1" thickBot="1" x14ac:dyDescent="0.25">
      <c r="A22" s="2020" t="s">
        <v>260</v>
      </c>
      <c r="B22" s="2021"/>
      <c r="C22" s="2021"/>
      <c r="D22" s="2065"/>
      <c r="E22" s="800">
        <v>4500000</v>
      </c>
      <c r="F22" s="800">
        <v>4500000</v>
      </c>
      <c r="G22" s="800">
        <v>4500000</v>
      </c>
      <c r="H22" s="801">
        <v>4500000</v>
      </c>
    </row>
    <row r="23" spans="1:10" ht="41.25" customHeight="1" thickTop="1" thickBot="1" x14ac:dyDescent="0.25">
      <c r="A23" s="2031" t="s">
        <v>360</v>
      </c>
      <c r="B23" s="2032"/>
      <c r="C23" s="2032"/>
      <c r="D23" s="2033"/>
      <c r="E23" s="2033"/>
      <c r="F23" s="492"/>
      <c r="G23" s="492"/>
      <c r="H23" s="493"/>
    </row>
    <row r="24" spans="1:10" ht="15.75" thickBot="1" x14ac:dyDescent="0.25">
      <c r="A24" s="2024"/>
      <c r="B24" s="2025"/>
      <c r="C24" s="2025"/>
      <c r="D24" s="2025"/>
      <c r="E24" s="293"/>
      <c r="F24" s="294"/>
      <c r="G24" s="295"/>
      <c r="H24" s="296"/>
    </row>
    <row r="25" spans="1:10" ht="63" customHeight="1" thickTop="1" thickBot="1" x14ac:dyDescent="0.25">
      <c r="A25" s="2026" t="s">
        <v>358</v>
      </c>
      <c r="B25" s="2027"/>
      <c r="C25" s="2027"/>
      <c r="D25" s="2028"/>
      <c r="E25" s="2064"/>
      <c r="F25" s="2064"/>
      <c r="G25" s="575" t="s">
        <v>265</v>
      </c>
      <c r="H25" s="581" t="s">
        <v>123</v>
      </c>
    </row>
    <row r="26" spans="1:10" ht="42" customHeight="1" thickTop="1" x14ac:dyDescent="0.2">
      <c r="A26" s="1900" t="s">
        <v>171</v>
      </c>
      <c r="B26" s="1901"/>
      <c r="C26" s="1901"/>
      <c r="D26" s="1901"/>
      <c r="E26" s="1902"/>
      <c r="F26" s="1903"/>
      <c r="G26" s="807">
        <v>2000000</v>
      </c>
      <c r="H26" s="802">
        <v>2000000</v>
      </c>
    </row>
    <row r="27" spans="1:10" ht="40.5" customHeight="1" thickBot="1" x14ac:dyDescent="0.25">
      <c r="A27" s="2017" t="s">
        <v>180</v>
      </c>
      <c r="B27" s="2018"/>
      <c r="C27" s="2018"/>
      <c r="D27" s="2018"/>
      <c r="E27" s="2018"/>
      <c r="F27" s="2018"/>
      <c r="G27" s="808">
        <v>2500000</v>
      </c>
      <c r="H27" s="803">
        <v>2500000</v>
      </c>
    </row>
    <row r="28" spans="1:10" ht="44.25" customHeight="1" thickBot="1" x14ac:dyDescent="0.25">
      <c r="A28" s="2020" t="s">
        <v>261</v>
      </c>
      <c r="B28" s="2021"/>
      <c r="C28" s="2021"/>
      <c r="D28" s="2022"/>
      <c r="E28" s="2063"/>
      <c r="F28" s="2063"/>
      <c r="G28" s="804">
        <v>4500000</v>
      </c>
      <c r="H28" s="805">
        <v>4500000</v>
      </c>
    </row>
    <row r="29" spans="1:10" ht="15.75" thickTop="1" x14ac:dyDescent="0.2"/>
  </sheetData>
  <sheetProtection password="CD4C" sheet="1" objects="1" scenarios="1" formatCells="0" formatColumns="0" formatRows="0"/>
  <mergeCells count="23">
    <mergeCell ref="A13:D13"/>
    <mergeCell ref="A16:D16"/>
    <mergeCell ref="A18:D18"/>
    <mergeCell ref="A19:D19"/>
    <mergeCell ref="A14:D14"/>
    <mergeCell ref="A15:D15"/>
    <mergeCell ref="A17:D17"/>
    <mergeCell ref="A28:F28"/>
    <mergeCell ref="A24:D24"/>
    <mergeCell ref="A25:F25"/>
    <mergeCell ref="A20:D20"/>
    <mergeCell ref="A21:D21"/>
    <mergeCell ref="A22:D22"/>
    <mergeCell ref="A23:E23"/>
    <mergeCell ref="A26:F26"/>
    <mergeCell ref="A27:F27"/>
    <mergeCell ref="B11:G11"/>
    <mergeCell ref="A8:B8"/>
    <mergeCell ref="C8:D8"/>
    <mergeCell ref="A10:B10"/>
    <mergeCell ref="B9:D9"/>
    <mergeCell ref="F8:G8"/>
    <mergeCell ref="C10:F10"/>
  </mergeCells>
  <phoneticPr fontId="0" type="noConversion"/>
  <printOptions horizontalCentered="1"/>
  <pageMargins left="0.74803149606299213" right="0.74803149606299213" top="0.78740157480314965" bottom="0.78740157480314965" header="0.51181102362204722" footer="0.51181102362204722"/>
  <pageSetup paperSize="8" scale="61" orientation="portrait" r:id="rId1"/>
  <headerFooter alignWithMargins="0">
    <oddFooter>&amp;L&amp;8&amp;A(&amp;F)&amp;C&amp;P&amp;R&amp;8&amp;D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U58"/>
  <sheetViews>
    <sheetView zoomScale="70" zoomScaleNormal="75" zoomScaleSheetLayoutView="75" workbookViewId="0">
      <selection activeCell="D4" sqref="D4"/>
    </sheetView>
  </sheetViews>
  <sheetFormatPr defaultRowHeight="15" x14ac:dyDescent="0.2"/>
  <cols>
    <col min="1" max="1" width="13.33203125" customWidth="1"/>
    <col min="2" max="2" width="17.21875" customWidth="1"/>
    <col min="3" max="3" width="5.6640625" customWidth="1"/>
    <col min="4" max="4" width="5" customWidth="1"/>
    <col min="5" max="5" width="4.5546875" customWidth="1"/>
    <col min="6" max="6" width="3.33203125" customWidth="1"/>
    <col min="7" max="7" width="4.6640625" customWidth="1"/>
    <col min="8" max="8" width="2.44140625" customWidth="1"/>
    <col min="9" max="9" width="4.88671875" customWidth="1"/>
    <col min="10" max="10" width="1.88671875" customWidth="1"/>
    <col min="11" max="11" width="5.33203125" customWidth="1"/>
    <col min="12" max="12" width="3" customWidth="1"/>
    <col min="13" max="13" width="12.21875" customWidth="1"/>
    <col min="14" max="14" width="3.21875" customWidth="1"/>
    <col min="15" max="15" width="13.88671875" customWidth="1"/>
    <col min="16" max="16" width="2.77734375" customWidth="1"/>
    <col min="17" max="17" width="12" customWidth="1"/>
    <col min="18" max="18" width="2.88671875" customWidth="1"/>
    <col min="19" max="19" width="18.77734375" customWidth="1"/>
  </cols>
  <sheetData>
    <row r="1" spans="1:21" ht="27" customHeight="1" thickTop="1" x14ac:dyDescent="0.2">
      <c r="A1" s="457"/>
      <c r="B1" s="557"/>
      <c r="C1" s="557"/>
      <c r="D1" s="557"/>
      <c r="E1" s="2085" t="s">
        <v>287</v>
      </c>
      <c r="F1" s="2085"/>
      <c r="G1" s="2085"/>
      <c r="H1" s="2085"/>
      <c r="I1" s="2085"/>
      <c r="J1" s="2085"/>
      <c r="K1" s="2085"/>
      <c r="L1" s="2085"/>
      <c r="M1" s="2085"/>
      <c r="N1" s="2085"/>
      <c r="O1" s="2085"/>
      <c r="P1" s="2085"/>
      <c r="Q1" s="2085"/>
      <c r="R1" s="2085"/>
      <c r="S1" s="2086"/>
    </row>
    <row r="2" spans="1:21" ht="27" customHeight="1" x14ac:dyDescent="0.2">
      <c r="A2" s="460"/>
      <c r="B2" s="558"/>
      <c r="C2" s="558"/>
      <c r="D2" s="558"/>
      <c r="E2" s="160"/>
      <c r="F2" s="161"/>
      <c r="G2" s="161"/>
      <c r="H2" s="161"/>
      <c r="I2" s="412" t="str">
        <f>'Input Data'!E2</f>
        <v xml:space="preserve">STRUCTURAL ENGINEERING  </v>
      </c>
      <c r="K2" s="412"/>
      <c r="L2" s="412"/>
      <c r="M2" s="412"/>
      <c r="N2" s="412"/>
      <c r="O2" s="412"/>
      <c r="P2" s="412"/>
      <c r="Q2" s="124"/>
      <c r="R2" s="124"/>
      <c r="S2" s="130"/>
    </row>
    <row r="3" spans="1:21" ht="27" customHeight="1" x14ac:dyDescent="0.2">
      <c r="A3" s="559"/>
      <c r="B3" s="560"/>
      <c r="C3" s="560"/>
      <c r="D3" s="560"/>
      <c r="E3" s="162"/>
      <c r="F3" s="131"/>
      <c r="G3" s="131"/>
      <c r="H3" s="131"/>
      <c r="I3" s="131"/>
      <c r="J3" s="131"/>
      <c r="K3" s="2087" t="str">
        <f>'Input Data'!E3</f>
        <v>ENGINEERING PROJECT:  2012 NDPW FEES</v>
      </c>
      <c r="L3" s="2088"/>
      <c r="M3" s="2088"/>
      <c r="N3" s="2088"/>
      <c r="O3" s="2088"/>
      <c r="P3" s="2089"/>
      <c r="Q3" s="2089"/>
      <c r="R3" s="29"/>
      <c r="S3" s="598" t="str">
        <f>'Input Data'!H4</f>
        <v>Version: 1.1  2012-10</v>
      </c>
    </row>
    <row r="4" spans="1:21" ht="27" customHeight="1" x14ac:dyDescent="0.2">
      <c r="A4" s="128"/>
      <c r="B4" s="124"/>
      <c r="C4" s="29"/>
      <c r="D4" s="29"/>
      <c r="E4" s="29"/>
      <c r="F4" s="29"/>
      <c r="G4" s="29"/>
      <c r="H4" s="29"/>
      <c r="I4" s="29"/>
      <c r="J4" s="29"/>
      <c r="K4" s="124"/>
      <c r="L4" s="124"/>
      <c r="M4" s="124"/>
      <c r="N4" s="124"/>
      <c r="O4" s="124"/>
      <c r="P4" s="124"/>
      <c r="Q4" s="124"/>
      <c r="R4" s="385"/>
      <c r="S4" s="386"/>
    </row>
    <row r="5" spans="1:21" ht="20.25" customHeight="1" x14ac:dyDescent="0.2">
      <c r="A5" s="399"/>
      <c r="B5" s="346" t="s">
        <v>473</v>
      </c>
      <c r="C5" s="1723">
        <f>'Input Data'!D29</f>
        <v>0</v>
      </c>
      <c r="D5" s="255"/>
      <c r="E5" s="124"/>
      <c r="F5" s="561"/>
      <c r="G5" s="124"/>
      <c r="H5" s="561"/>
      <c r="I5" s="561"/>
      <c r="J5" s="561"/>
      <c r="K5" s="561"/>
      <c r="L5" s="19"/>
      <c r="M5" s="19"/>
      <c r="N5" s="19"/>
      <c r="O5" s="124"/>
      <c r="P5" s="22"/>
      <c r="Q5" s="22"/>
      <c r="R5" s="350" t="s">
        <v>114</v>
      </c>
      <c r="S5" s="599">
        <f>'Input Data'!D28</f>
        <v>0</v>
      </c>
      <c r="T5" s="589"/>
      <c r="U5" s="376"/>
    </row>
    <row r="6" spans="1:21" ht="18" x14ac:dyDescent="0.2">
      <c r="A6" s="364" t="s">
        <v>251</v>
      </c>
      <c r="B6" s="2055">
        <f>'Input Data'!D6</f>
        <v>0</v>
      </c>
      <c r="C6" s="2056"/>
      <c r="D6" s="2056"/>
      <c r="E6" s="363"/>
      <c r="F6" s="363"/>
      <c r="G6" s="363"/>
      <c r="H6" s="363"/>
      <c r="I6" s="2090" t="str">
        <f>'Input Data'!D32</f>
        <v>DETAIL DESIGN</v>
      </c>
      <c r="J6" s="2090"/>
      <c r="K6" s="2090"/>
      <c r="L6" s="2090"/>
      <c r="M6" s="2090"/>
      <c r="N6" s="2090"/>
      <c r="O6" s="2042"/>
      <c r="P6" s="2091"/>
      <c r="Q6" s="1726" t="s">
        <v>118</v>
      </c>
      <c r="R6" s="19"/>
      <c r="S6" s="107"/>
    </row>
    <row r="7" spans="1:21" x14ac:dyDescent="0.2">
      <c r="A7" s="128"/>
      <c r="B7" s="124"/>
      <c r="C7" s="124"/>
      <c r="D7" s="587"/>
      <c r="E7" s="587"/>
      <c r="F7" s="587"/>
      <c r="G7" s="587"/>
      <c r="H7" s="587"/>
      <c r="I7" s="587"/>
      <c r="J7" s="587"/>
      <c r="K7" s="587"/>
      <c r="L7" s="587"/>
      <c r="M7" s="587"/>
      <c r="N7" s="587"/>
      <c r="O7" s="587"/>
      <c r="P7" s="587"/>
      <c r="Q7" s="587"/>
      <c r="R7" s="587"/>
      <c r="S7" s="588"/>
    </row>
    <row r="8" spans="1:21" ht="22.5" customHeight="1" x14ac:dyDescent="0.2">
      <c r="A8" s="364" t="s">
        <v>17</v>
      </c>
      <c r="B8" s="2083">
        <f>'Input Data'!D12</f>
        <v>0</v>
      </c>
      <c r="C8" s="2084"/>
      <c r="D8" s="2084"/>
      <c r="E8" s="2084"/>
      <c r="F8" s="2084"/>
      <c r="G8" s="2084"/>
      <c r="H8" s="2084"/>
      <c r="I8" s="2084"/>
      <c r="J8" s="2084"/>
      <c r="K8" s="2084"/>
      <c r="L8" s="2084"/>
      <c r="M8" s="2084"/>
      <c r="N8" s="2084"/>
      <c r="O8" s="2084"/>
      <c r="P8" s="2084"/>
      <c r="Q8" s="2084"/>
      <c r="R8" s="2084"/>
      <c r="S8" s="384"/>
    </row>
    <row r="9" spans="1:21" ht="22.5" customHeight="1" x14ac:dyDescent="0.2">
      <c r="A9" s="364"/>
      <c r="B9" s="597"/>
      <c r="C9" s="585"/>
      <c r="D9" s="585"/>
      <c r="E9" s="585"/>
      <c r="F9" s="585"/>
      <c r="G9" s="585"/>
      <c r="H9" s="585"/>
      <c r="I9" s="585"/>
      <c r="J9" s="585"/>
      <c r="K9" s="585"/>
      <c r="L9" s="585"/>
      <c r="M9" s="585"/>
      <c r="N9" s="585"/>
      <c r="O9" s="585"/>
      <c r="P9" s="585"/>
      <c r="Q9" s="585"/>
      <c r="R9" s="585"/>
      <c r="S9" s="384"/>
    </row>
    <row r="10" spans="1:21" x14ac:dyDescent="0.2">
      <c r="A10" s="111"/>
      <c r="B10" s="350" t="s">
        <v>356</v>
      </c>
      <c r="C10" s="2067">
        <f>'Input Data'!D13</f>
        <v>0</v>
      </c>
      <c r="D10" s="2041"/>
      <c r="E10" s="2041"/>
      <c r="F10" s="2041"/>
      <c r="G10" s="2041"/>
      <c r="H10" s="2041"/>
      <c r="I10" s="2041"/>
      <c r="J10" s="2041"/>
      <c r="K10" s="2041"/>
      <c r="L10" s="2041"/>
      <c r="M10" s="2041"/>
      <c r="N10" s="2041"/>
      <c r="O10" s="2041"/>
      <c r="P10" s="2041"/>
      <c r="Q10" s="590"/>
      <c r="R10" s="9"/>
      <c r="S10" s="107"/>
    </row>
    <row r="11" spans="1:21" x14ac:dyDescent="0.2">
      <c r="A11" s="111"/>
      <c r="B11" s="350"/>
      <c r="C11" s="586"/>
      <c r="D11" s="124"/>
      <c r="E11" s="124"/>
      <c r="F11" s="124"/>
      <c r="G11" s="124"/>
      <c r="H11" s="124"/>
      <c r="I11" s="124"/>
      <c r="J11" s="124"/>
      <c r="K11" s="124"/>
      <c r="L11" s="124"/>
      <c r="M11" s="124"/>
      <c r="N11" s="124"/>
      <c r="O11" s="124"/>
      <c r="P11" s="124"/>
      <c r="Q11" s="590"/>
      <c r="R11" s="9"/>
      <c r="S11" s="107"/>
    </row>
    <row r="12" spans="1:21" x14ac:dyDescent="0.2">
      <c r="A12" s="128"/>
      <c r="B12" s="596" t="s">
        <v>18</v>
      </c>
      <c r="C12" s="2075">
        <f>'Input Data'!D31</f>
        <v>0</v>
      </c>
      <c r="D12" s="2076"/>
      <c r="E12" s="2076"/>
      <c r="F12" s="2076"/>
      <c r="G12" s="2076"/>
      <c r="H12" s="2076"/>
      <c r="I12" s="112"/>
      <c r="J12" s="112"/>
      <c r="K12" s="113"/>
      <c r="L12" s="23"/>
      <c r="M12" s="29"/>
      <c r="N12" s="109"/>
      <c r="O12" s="2077"/>
      <c r="P12" s="2078"/>
      <c r="Q12" s="1920"/>
      <c r="R12" s="29"/>
      <c r="S12" s="114"/>
    </row>
    <row r="13" spans="1:21" ht="8.25" customHeight="1" thickBot="1" x14ac:dyDescent="0.25">
      <c r="A13" s="115"/>
      <c r="B13" s="54"/>
      <c r="C13" s="116"/>
      <c r="D13" s="26"/>
      <c r="E13" s="26"/>
      <c r="F13" s="26"/>
      <c r="G13" s="26"/>
      <c r="H13" s="26"/>
      <c r="I13" s="26"/>
      <c r="J13" s="26"/>
      <c r="K13" s="117"/>
      <c r="L13" s="117"/>
      <c r="M13" s="26"/>
      <c r="N13" s="118"/>
      <c r="O13" s="54"/>
      <c r="P13" s="72"/>
      <c r="Q13" s="119"/>
      <c r="R13" s="54"/>
      <c r="S13" s="108"/>
    </row>
    <row r="14" spans="1:21" ht="15.75" customHeight="1" thickTop="1" x14ac:dyDescent="0.2">
      <c r="A14" s="2081"/>
      <c r="B14" s="2082"/>
      <c r="C14" s="2082"/>
      <c r="D14" s="2082"/>
      <c r="E14" s="2082"/>
      <c r="F14" s="2082"/>
      <c r="G14" s="2082"/>
      <c r="H14" s="2082"/>
      <c r="I14" s="2082"/>
      <c r="J14" s="2082"/>
      <c r="K14" s="2082"/>
      <c r="L14" s="2082"/>
      <c r="M14" s="458"/>
      <c r="N14" s="2072" t="s">
        <v>112</v>
      </c>
      <c r="O14" s="2073"/>
      <c r="P14" s="2073"/>
      <c r="Q14" s="2073"/>
      <c r="R14" s="2074"/>
      <c r="S14" s="809">
        <f>IF('Input Data'!$E$40=1,80%*'Input Data'!$H$50,'Input Data'!$H$50)</f>
        <v>0</v>
      </c>
    </row>
    <row r="15" spans="1:21" ht="15.75" thickBot="1" x14ac:dyDescent="0.25">
      <c r="A15" s="110"/>
      <c r="B15" s="54"/>
      <c r="C15" s="54"/>
      <c r="D15" s="54"/>
      <c r="E15" s="54"/>
      <c r="F15" s="54"/>
      <c r="G15" s="54"/>
      <c r="H15" s="54"/>
      <c r="I15" s="54"/>
      <c r="J15" s="54"/>
      <c r="K15" s="54"/>
      <c r="L15" s="54"/>
      <c r="M15" s="459"/>
      <c r="N15" s="2079" t="s">
        <v>113</v>
      </c>
      <c r="O15" s="2080"/>
      <c r="P15" s="2080"/>
      <c r="Q15" s="2080"/>
      <c r="R15" s="2080"/>
      <c r="S15" s="810">
        <f>IF('Input Data'!E36="y",IF('Input Data'!$E$40=1,80%*'Input Data'!$H$53,'Input Data'!$H$53),0)</f>
        <v>0</v>
      </c>
    </row>
    <row r="16" spans="1:21" ht="27.75" customHeight="1" thickTop="1" x14ac:dyDescent="0.2">
      <c r="A16" s="145" t="s">
        <v>124</v>
      </c>
      <c r="B16" s="34"/>
      <c r="C16" s="34"/>
      <c r="D16" s="34"/>
      <c r="E16" s="34"/>
      <c r="F16" s="34"/>
      <c r="G16" s="34"/>
      <c r="H16" s="34"/>
      <c r="I16" s="34"/>
      <c r="J16" s="34"/>
      <c r="K16" s="34"/>
      <c r="L16" s="34"/>
      <c r="M16" s="34"/>
      <c r="N16" s="34"/>
      <c r="O16" s="34"/>
      <c r="P16" s="34"/>
      <c r="Q16" s="34"/>
      <c r="R16" s="34"/>
      <c r="S16" s="811"/>
    </row>
    <row r="17" spans="1:19" ht="15.75" x14ac:dyDescent="0.2">
      <c r="A17" s="120"/>
      <c r="B17" s="20"/>
      <c r="C17" s="20"/>
      <c r="D17" s="20"/>
      <c r="E17" s="20"/>
      <c r="F17" s="20"/>
      <c r="G17" s="20"/>
      <c r="H17" s="20"/>
      <c r="I17" s="20"/>
      <c r="J17" s="20"/>
      <c r="K17" s="20"/>
      <c r="L17" s="20"/>
      <c r="M17" s="20"/>
      <c r="N17" s="20"/>
      <c r="O17" s="20"/>
      <c r="P17" s="20"/>
      <c r="Q17" s="20"/>
      <c r="R17" s="20"/>
      <c r="S17" s="761"/>
    </row>
    <row r="18" spans="1:19" x14ac:dyDescent="0.2">
      <c r="A18" s="136" t="s">
        <v>25</v>
      </c>
      <c r="B18" s="19"/>
      <c r="C18" s="20"/>
      <c r="D18" s="36"/>
      <c r="E18" s="36"/>
      <c r="F18" s="36"/>
      <c r="G18" s="36"/>
      <c r="H18" s="36"/>
      <c r="I18" s="36"/>
      <c r="J18" s="36"/>
      <c r="K18" s="37"/>
      <c r="L18" s="38"/>
      <c r="M18" s="25">
        <f>'Civ_Struct_Eng_Tax Invoice '!K116</f>
        <v>0</v>
      </c>
      <c r="N18" s="121" t="s">
        <v>98</v>
      </c>
      <c r="O18" s="39">
        <f>'Civ_Struct_Eng_Tax Invoice '!M116</f>
        <v>0.125</v>
      </c>
      <c r="P18" s="40" t="s">
        <v>1</v>
      </c>
      <c r="Q18" s="41">
        <f>'Civ_Struct_Eng_Tax Invoice '!O116</f>
        <v>0</v>
      </c>
      <c r="R18" s="42" t="s">
        <v>3</v>
      </c>
      <c r="S18" s="766">
        <f>IF('Input Data'!$H$50&gt;'Input Data'!$H$22,(M18+O18*Q18),0)</f>
        <v>0</v>
      </c>
    </row>
    <row r="19" spans="1:19" x14ac:dyDescent="0.2">
      <c r="A19" s="44"/>
      <c r="B19" s="19"/>
      <c r="C19" s="20"/>
      <c r="D19" s="45"/>
      <c r="E19" s="45"/>
      <c r="F19" s="45"/>
      <c r="G19" s="45"/>
      <c r="H19" s="45"/>
      <c r="I19" s="45"/>
      <c r="J19" s="45"/>
      <c r="K19" s="20"/>
      <c r="L19" s="20"/>
      <c r="M19" s="25"/>
      <c r="N19" s="25"/>
      <c r="O19" s="48"/>
      <c r="P19" s="40"/>
      <c r="Q19" s="25"/>
      <c r="R19" s="25"/>
      <c r="S19" s="761"/>
    </row>
    <row r="20" spans="1:19" ht="15.75" thickBot="1" x14ac:dyDescent="0.25">
      <c r="A20" s="53"/>
      <c r="B20" s="54"/>
      <c r="C20" s="55"/>
      <c r="D20" s="56"/>
      <c r="E20" s="56"/>
      <c r="F20" s="56"/>
      <c r="G20" s="56"/>
      <c r="H20" s="56"/>
      <c r="I20" s="56"/>
      <c r="J20" s="56"/>
      <c r="K20" s="55"/>
      <c r="L20" s="55"/>
      <c r="M20" s="57"/>
      <c r="N20" s="58"/>
      <c r="O20" s="59"/>
      <c r="P20" s="60"/>
      <c r="Q20" s="58"/>
      <c r="R20" s="58"/>
      <c r="S20" s="812"/>
    </row>
    <row r="21" spans="1:19" ht="25.5" customHeight="1" thickTop="1" x14ac:dyDescent="0.2">
      <c r="A21" s="33" t="s">
        <v>271</v>
      </c>
      <c r="B21" s="19"/>
      <c r="C21" s="20"/>
      <c r="D21" s="45"/>
      <c r="E21" s="45"/>
      <c r="F21" s="45"/>
      <c r="G21" s="45"/>
      <c r="H21" s="45"/>
      <c r="I21" s="45"/>
      <c r="J21" s="45"/>
      <c r="K21" s="20"/>
      <c r="L21" s="20"/>
      <c r="M21" s="46"/>
      <c r="N21" s="25"/>
      <c r="O21" s="48"/>
      <c r="P21" s="40"/>
      <c r="Q21" s="25"/>
      <c r="R21" s="25"/>
      <c r="S21" s="761"/>
    </row>
    <row r="22" spans="1:19" ht="15.75" x14ac:dyDescent="0.2">
      <c r="A22" s="122"/>
      <c r="B22" s="19"/>
      <c r="C22" s="20"/>
      <c r="D22" s="45"/>
      <c r="E22" s="45"/>
      <c r="F22" s="45"/>
      <c r="G22" s="45"/>
      <c r="H22" s="45"/>
      <c r="I22" s="45"/>
      <c r="J22" s="45"/>
      <c r="K22" s="20"/>
      <c r="L22" s="20"/>
      <c r="M22" s="46"/>
      <c r="N22" s="25"/>
      <c r="O22" s="48"/>
      <c r="P22" s="40"/>
      <c r="Q22" s="25"/>
      <c r="R22" s="25"/>
      <c r="S22" s="761"/>
    </row>
    <row r="23" spans="1:19" ht="15" customHeight="1" x14ac:dyDescent="0.2">
      <c r="A23" s="1914" t="s">
        <v>148</v>
      </c>
      <c r="B23" s="1909"/>
      <c r="C23" s="1909"/>
      <c r="D23" s="19"/>
      <c r="E23" s="19"/>
      <c r="F23" s="19"/>
      <c r="G23" s="19"/>
      <c r="H23" s="19"/>
      <c r="I23" s="19"/>
      <c r="J23" s="19"/>
      <c r="K23" s="19"/>
      <c r="L23" s="36"/>
      <c r="M23" s="49">
        <f>IF('Input Data'!$F$32=1,0.05,IF('Input Data'!$F$32=2,Scales!$L$5,IF('Input Data'!$F$32=3,Scales!$L$6,IF('Input Data'!$F$32=4,Scales!$L$7,0.7))))</f>
        <v>0.55000000000000004</v>
      </c>
      <c r="N23" s="42" t="s">
        <v>2</v>
      </c>
      <c r="O23" s="779">
        <f>'WTW Input'!$H$14</f>
        <v>0</v>
      </c>
      <c r="P23" s="778" t="s">
        <v>23</v>
      </c>
      <c r="Q23" s="779">
        <f>IF('WTW Input'!$H$14&gt;0,$S$18,0)</f>
        <v>0</v>
      </c>
      <c r="R23" s="46"/>
      <c r="S23" s="761">
        <f>IF('WTW Input'!$H$14&gt;0,IF('Input Data'!$D$34="N",(M23*O23/O24*Q23),0),0)</f>
        <v>0</v>
      </c>
    </row>
    <row r="24" spans="1:19" ht="15" customHeight="1" x14ac:dyDescent="0.2">
      <c r="A24" s="1910"/>
      <c r="B24" s="1909"/>
      <c r="C24" s="1909"/>
      <c r="D24" s="19"/>
      <c r="E24" s="19"/>
      <c r="F24" s="19"/>
      <c r="G24" s="19"/>
      <c r="H24" s="19"/>
      <c r="I24" s="19"/>
      <c r="J24" s="19"/>
      <c r="K24" s="62"/>
      <c r="L24" s="45"/>
      <c r="M24" s="49"/>
      <c r="N24" s="25"/>
      <c r="O24" s="777">
        <f>IF('WTW Input'!$H$14&gt;0,'Input Data'!$H$50,0)</f>
        <v>0</v>
      </c>
      <c r="P24" s="778"/>
      <c r="Q24" s="779"/>
      <c r="R24" s="46"/>
      <c r="S24" s="761"/>
    </row>
    <row r="25" spans="1:19" ht="15" customHeight="1" x14ac:dyDescent="0.2">
      <c r="A25" s="63"/>
      <c r="B25" s="64"/>
      <c r="C25" s="19"/>
      <c r="D25" s="19"/>
      <c r="E25" s="19"/>
      <c r="F25" s="19"/>
      <c r="G25" s="19"/>
      <c r="H25" s="19"/>
      <c r="I25" s="19"/>
      <c r="J25" s="19"/>
      <c r="K25" s="65"/>
      <c r="L25" s="50"/>
      <c r="M25" s="66"/>
      <c r="N25" s="67"/>
      <c r="O25" s="780"/>
      <c r="P25" s="781"/>
      <c r="Q25" s="780"/>
      <c r="R25" s="67"/>
      <c r="S25" s="746"/>
    </row>
    <row r="26" spans="1:19" ht="15" customHeight="1" x14ac:dyDescent="0.2">
      <c r="A26" s="1917" t="s">
        <v>142</v>
      </c>
      <c r="B26" s="1908"/>
      <c r="C26" s="1908"/>
      <c r="D26" s="1908"/>
      <c r="E26" s="137"/>
      <c r="F26" s="137"/>
      <c r="G26" s="9"/>
      <c r="H26" s="9"/>
      <c r="I26" s="19"/>
      <c r="J26" s="36"/>
      <c r="K26" s="65">
        <f>IF('WTW Input'!$H$15&gt;0,0.25,0)</f>
        <v>0</v>
      </c>
      <c r="L26" s="36" t="s">
        <v>1</v>
      </c>
      <c r="M26" s="49">
        <f>IF('Input Data'!$F$32=1,0.05,IF('Input Data'!$F$32=2,Scales!$L$5,IF('Input Data'!$F$32=3,Scales!$L$6,IF('Input Data'!$F$32=4,Scales!$L$7,0.7))))</f>
        <v>0.55000000000000004</v>
      </c>
      <c r="N26" s="42" t="s">
        <v>2</v>
      </c>
      <c r="O26" s="779">
        <f>'WTW Input'!$H$15</f>
        <v>0</v>
      </c>
      <c r="P26" s="778" t="s">
        <v>23</v>
      </c>
      <c r="Q26" s="779">
        <f>IF('WTW Input'!$H$15&gt;0,$S$18,0)</f>
        <v>0</v>
      </c>
      <c r="R26" s="67"/>
      <c r="S26" s="761">
        <f>IF('WTW Input'!$H$15&gt;0,IF('Input Data'!$D$34="N",(K26*M26*O26/O27*Q26),0),0)</f>
        <v>0</v>
      </c>
    </row>
    <row r="27" spans="1:19" ht="15" customHeight="1" x14ac:dyDescent="0.2">
      <c r="A27" s="2066"/>
      <c r="B27" s="1908"/>
      <c r="C27" s="1908"/>
      <c r="D27" s="1908"/>
      <c r="E27" s="137"/>
      <c r="F27" s="137"/>
      <c r="G27" s="9"/>
      <c r="H27" s="9"/>
      <c r="I27" s="9"/>
      <c r="J27" s="9"/>
      <c r="K27" s="65"/>
      <c r="L27" s="50"/>
      <c r="M27" s="66"/>
      <c r="N27" s="67"/>
      <c r="O27" s="777">
        <f>IF('WTW Input'!$H$15&gt;0,'Input Data'!$H$50,0)</f>
        <v>0</v>
      </c>
      <c r="P27" s="781"/>
      <c r="Q27" s="780"/>
      <c r="R27" s="67"/>
      <c r="S27" s="746"/>
    </row>
    <row r="28" spans="1:19" ht="15" customHeight="1" x14ac:dyDescent="0.2">
      <c r="A28" s="6"/>
      <c r="B28" s="9"/>
      <c r="C28" s="9"/>
      <c r="D28" s="9"/>
      <c r="E28" s="9"/>
      <c r="F28" s="9"/>
      <c r="G28" s="9"/>
      <c r="H28" s="9"/>
      <c r="I28" s="9"/>
      <c r="J28" s="9"/>
      <c r="K28" s="65"/>
      <c r="L28" s="50"/>
      <c r="M28" s="66"/>
      <c r="N28" s="67"/>
      <c r="O28" s="780"/>
      <c r="P28" s="781"/>
      <c r="Q28" s="780"/>
      <c r="R28" s="67"/>
      <c r="S28" s="746"/>
    </row>
    <row r="29" spans="1:19" ht="15" customHeight="1" x14ac:dyDescent="0.2">
      <c r="A29" s="1907" t="s">
        <v>140</v>
      </c>
      <c r="B29" s="1908"/>
      <c r="C29" s="2068"/>
      <c r="D29" s="2068"/>
      <c r="E29" s="369"/>
      <c r="F29" s="369"/>
      <c r="G29" s="369"/>
      <c r="H29" s="369"/>
      <c r="I29" s="19"/>
      <c r="J29" s="36"/>
      <c r="K29" s="65">
        <f>IF('WTW Input'!$H$16&gt;0,1.25,0)</f>
        <v>0</v>
      </c>
      <c r="L29" s="36" t="s">
        <v>1</v>
      </c>
      <c r="M29" s="49">
        <f>IF('Input Data'!$F$32=1,0.05,IF('Input Data'!$F$32=2,Scales!$L$5,IF('Input Data'!$F$32=3,Scales!$L$6,IF('Input Data'!$F$32=4,Scales!$L$7,0.7))))</f>
        <v>0.55000000000000004</v>
      </c>
      <c r="N29" s="42" t="s">
        <v>2</v>
      </c>
      <c r="O29" s="779">
        <f>'WTW Input'!$H$16</f>
        <v>0</v>
      </c>
      <c r="P29" s="778" t="s">
        <v>23</v>
      </c>
      <c r="Q29" s="779">
        <f>IF('WTW Input'!$H$16&gt;0,$S$18,0)</f>
        <v>0</v>
      </c>
      <c r="R29" s="25"/>
      <c r="S29" s="761">
        <f>IF('WTW Input'!$H$16&gt;0,IF('Input Data'!$D$34="N",(K29*M29*O29/O30*Q29),0),0)</f>
        <v>0</v>
      </c>
    </row>
    <row r="30" spans="1:19" ht="15" customHeight="1" x14ac:dyDescent="0.2">
      <c r="A30" s="2069"/>
      <c r="B30" s="2068"/>
      <c r="C30" s="2068"/>
      <c r="D30" s="2068"/>
      <c r="E30" s="369"/>
      <c r="F30" s="369"/>
      <c r="G30" s="19"/>
      <c r="H30" s="19"/>
      <c r="I30" s="19"/>
      <c r="J30" s="19"/>
      <c r="K30" s="65"/>
      <c r="L30" s="50"/>
      <c r="M30" s="66"/>
      <c r="N30" s="67"/>
      <c r="O30" s="777">
        <f>IF('WTW Input'!$H$16&gt;0,'Input Data'!$H$50,0)</f>
        <v>0</v>
      </c>
      <c r="P30" s="781"/>
      <c r="Q30" s="780"/>
      <c r="R30" s="67"/>
      <c r="S30" s="746"/>
    </row>
    <row r="31" spans="1:19" ht="12" customHeight="1" x14ac:dyDescent="0.2">
      <c r="A31" s="63"/>
      <c r="B31" s="64"/>
      <c r="C31" s="19"/>
      <c r="D31" s="19"/>
      <c r="E31" s="19"/>
      <c r="F31" s="19"/>
      <c r="G31" s="19"/>
      <c r="H31" s="19"/>
      <c r="I31" s="19"/>
      <c r="J31" s="19"/>
      <c r="K31" s="65"/>
      <c r="L31" s="50"/>
      <c r="M31" s="66"/>
      <c r="N31" s="67"/>
      <c r="O31" s="780"/>
      <c r="P31" s="781"/>
      <c r="Q31" s="780"/>
      <c r="R31" s="67"/>
      <c r="S31" s="746"/>
    </row>
    <row r="32" spans="1:19" ht="21.75" customHeight="1" x14ac:dyDescent="0.2">
      <c r="A32" s="1907" t="s">
        <v>143</v>
      </c>
      <c r="B32" s="1908"/>
      <c r="C32" s="2068"/>
      <c r="D32" s="2068"/>
      <c r="E32" s="369"/>
      <c r="F32" s="369"/>
      <c r="G32" s="369"/>
      <c r="H32" s="369"/>
      <c r="I32" s="19"/>
      <c r="J32" s="36"/>
      <c r="K32" s="69">
        <f>IF('WTW Input'!$H$17&gt;0,0.33,0)</f>
        <v>0</v>
      </c>
      <c r="L32" s="36" t="s">
        <v>1</v>
      </c>
      <c r="M32" s="49">
        <f>IF('Input Data'!$F$32=1,0.05,IF('Input Data'!$F$32=2,Scales!$L$5,IF('Input Data'!$F$32=3,Scales!$L$6,IF('Input Data'!$F$32=4,Scales!$L$7,0.7))))</f>
        <v>0.55000000000000004</v>
      </c>
      <c r="N32" s="42" t="s">
        <v>2</v>
      </c>
      <c r="O32" s="779">
        <f>'WTW Input'!$H$17</f>
        <v>0</v>
      </c>
      <c r="P32" s="778" t="s">
        <v>23</v>
      </c>
      <c r="Q32" s="779">
        <f>IF('WTW Input'!$H$17&gt;0,$S$18,0)</f>
        <v>0</v>
      </c>
      <c r="R32" s="25"/>
      <c r="S32" s="761">
        <f>IF('WTW Input'!$H$17&gt;0,IF('Input Data'!$D$34="N",(K32*M32*O32/O33*Q32),0),0)</f>
        <v>0</v>
      </c>
    </row>
    <row r="33" spans="1:19" ht="21.75" customHeight="1" x14ac:dyDescent="0.2">
      <c r="A33" s="2069"/>
      <c r="B33" s="2068"/>
      <c r="C33" s="2068"/>
      <c r="D33" s="2068"/>
      <c r="E33" s="369"/>
      <c r="F33" s="369"/>
      <c r="G33" s="19"/>
      <c r="H33" s="19"/>
      <c r="I33" s="19"/>
      <c r="J33" s="19"/>
      <c r="K33" s="65"/>
      <c r="L33" s="50"/>
      <c r="M33" s="49"/>
      <c r="N33" s="42"/>
      <c r="O33" s="777">
        <f>IF('WTW Input'!$H$17&gt;0,'Input Data'!$H$50,0)</f>
        <v>0</v>
      </c>
      <c r="P33" s="781"/>
      <c r="Q33" s="784"/>
      <c r="R33" s="67"/>
      <c r="S33" s="746"/>
    </row>
    <row r="34" spans="1:19" ht="9" customHeight="1" x14ac:dyDescent="0.2">
      <c r="A34" s="377"/>
      <c r="B34" s="29"/>
      <c r="C34" s="29"/>
      <c r="D34" s="29"/>
      <c r="E34" s="29"/>
      <c r="F34" s="29"/>
      <c r="G34" s="29"/>
      <c r="H34" s="29"/>
      <c r="I34" s="29"/>
      <c r="J34" s="29"/>
      <c r="K34" s="29"/>
      <c r="L34" s="29"/>
      <c r="M34" s="29"/>
      <c r="N34" s="29"/>
      <c r="O34" s="785"/>
      <c r="P34" s="785"/>
      <c r="Q34" s="785"/>
      <c r="R34" s="29"/>
      <c r="S34" s="813"/>
    </row>
    <row r="35" spans="1:19" ht="15.75" customHeight="1" x14ac:dyDescent="0.2">
      <c r="A35" s="1917" t="s">
        <v>141</v>
      </c>
      <c r="B35" s="1908"/>
      <c r="C35" s="1908"/>
      <c r="D35" s="1908"/>
      <c r="E35" s="137"/>
      <c r="F35" s="137"/>
      <c r="G35" s="19"/>
      <c r="H35" s="36"/>
      <c r="I35" s="65">
        <f>IF('WTW Input'!$H$18&gt;0,0.33,0)</f>
        <v>0</v>
      </c>
      <c r="J35" s="36" t="s">
        <v>1</v>
      </c>
      <c r="K35" s="65">
        <f>IF('WTW Input'!$H$18&gt;0,1.25,0)</f>
        <v>0</v>
      </c>
      <c r="L35" s="36" t="s">
        <v>1</v>
      </c>
      <c r="M35" s="49">
        <f>IF('Input Data'!$F$32=1,0.05,IF('Input Data'!$F$32=2,Scales!$L$5,IF('Input Data'!$F$32=3,Scales!$L$6,IF('Input Data'!$F$32=4,Scales!$L$7,0.7))))</f>
        <v>0.55000000000000004</v>
      </c>
      <c r="N35" s="42" t="s">
        <v>2</v>
      </c>
      <c r="O35" s="779">
        <f>'WTW Input'!$H$18</f>
        <v>0</v>
      </c>
      <c r="P35" s="778" t="s">
        <v>23</v>
      </c>
      <c r="Q35" s="779">
        <f>IF('WTW Input'!$H$18&gt;0,$S$18,0)</f>
        <v>0</v>
      </c>
      <c r="R35" s="67"/>
      <c r="S35" s="761">
        <f>IF('WTW Input'!$H$18&gt;0,IF('Input Data'!$D$34="N",(I35*K35*M35*O35/O36*Q35),0),0)</f>
        <v>0</v>
      </c>
    </row>
    <row r="36" spans="1:19" ht="24" customHeight="1" x14ac:dyDescent="0.2">
      <c r="A36" s="2066"/>
      <c r="B36" s="1908"/>
      <c r="C36" s="1908"/>
      <c r="D36" s="1908"/>
      <c r="E36" s="137"/>
      <c r="F36" s="137"/>
      <c r="G36" s="9"/>
      <c r="H36" s="9"/>
      <c r="I36" s="9"/>
      <c r="J36" s="9"/>
      <c r="K36" s="65"/>
      <c r="L36" s="50"/>
      <c r="M36" s="49"/>
      <c r="N36" s="67"/>
      <c r="O36" s="777">
        <f>IF('WTW Input'!$H$18&gt;0,'Input Data'!$H$50,0)</f>
        <v>0</v>
      </c>
      <c r="P36" s="781"/>
      <c r="Q36" s="780"/>
      <c r="R36" s="67"/>
      <c r="S36" s="746"/>
    </row>
    <row r="37" spans="1:19" x14ac:dyDescent="0.2">
      <c r="A37" s="6"/>
      <c r="B37" s="9"/>
      <c r="C37" s="9"/>
      <c r="D37" s="9"/>
      <c r="E37" s="9"/>
      <c r="F37" s="9"/>
      <c r="G37" s="9"/>
      <c r="H37" s="9"/>
      <c r="I37" s="9"/>
      <c r="J37" s="9"/>
      <c r="K37" s="65"/>
      <c r="L37" s="50"/>
      <c r="M37" s="66"/>
      <c r="N37" s="67"/>
      <c r="O37" s="780"/>
      <c r="P37" s="781"/>
      <c r="Q37" s="780"/>
      <c r="R37" s="67"/>
      <c r="S37" s="746"/>
    </row>
    <row r="38" spans="1:19" ht="15.75" customHeight="1" x14ac:dyDescent="0.2">
      <c r="A38" s="1917" t="s">
        <v>144</v>
      </c>
      <c r="B38" s="2070"/>
      <c r="C38" s="2070"/>
      <c r="D38" s="2070"/>
      <c r="E38" s="138"/>
      <c r="F38" s="138"/>
      <c r="G38" s="19"/>
      <c r="H38" s="36"/>
      <c r="I38" s="65">
        <f>IF('WTW Input'!$H$19&gt;0,0.33,0)</f>
        <v>0</v>
      </c>
      <c r="J38" s="36" t="s">
        <v>1</v>
      </c>
      <c r="K38" s="70">
        <f>IF('WTW Input'!$H$19&gt;0,0.25,0)</f>
        <v>0</v>
      </c>
      <c r="L38" s="36" t="s">
        <v>1</v>
      </c>
      <c r="M38" s="49">
        <f>IF('Input Data'!$F$32=1,0.05,IF('Input Data'!$F$32=2,Scales!$L$5,IF('Input Data'!$F$32=3,Scales!$L$6,IF('Input Data'!$F$32=4,Scales!$L$7,0.7))))</f>
        <v>0.55000000000000004</v>
      </c>
      <c r="N38" s="42" t="s">
        <v>2</v>
      </c>
      <c r="O38" s="779">
        <f>'WTW Input'!$H$19</f>
        <v>0</v>
      </c>
      <c r="P38" s="778" t="s">
        <v>23</v>
      </c>
      <c r="Q38" s="779">
        <f>IF('WTW Input'!$H$19&gt;0,$S$18,0)</f>
        <v>0</v>
      </c>
      <c r="R38" s="67"/>
      <c r="S38" s="761">
        <f>IF('WTW Input'!$H$19&gt;0,IF('Input Data'!$D$34="N",(I38*K38*M38*O38/O39*Q38),0),0)</f>
        <v>0</v>
      </c>
    </row>
    <row r="39" spans="1:19" ht="21.75" customHeight="1" x14ac:dyDescent="0.2">
      <c r="A39" s="1917"/>
      <c r="B39" s="2070"/>
      <c r="C39" s="2070"/>
      <c r="D39" s="2070"/>
      <c r="E39" s="138"/>
      <c r="F39" s="138"/>
      <c r="G39" s="9"/>
      <c r="H39" s="9"/>
      <c r="I39" s="9"/>
      <c r="J39" s="9"/>
      <c r="K39" s="65"/>
      <c r="L39" s="50"/>
      <c r="M39" s="49"/>
      <c r="N39" s="67"/>
      <c r="O39" s="777">
        <f>IF('WTW Input'!$H$19&gt;0,'Input Data'!$H$50,0)</f>
        <v>0</v>
      </c>
      <c r="P39" s="781"/>
      <c r="Q39" s="780"/>
      <c r="R39" s="67"/>
      <c r="S39" s="746"/>
    </row>
    <row r="40" spans="1:19" x14ac:dyDescent="0.2">
      <c r="A40" s="6"/>
      <c r="B40" s="9"/>
      <c r="C40" s="9"/>
      <c r="D40" s="9"/>
      <c r="E40" s="9"/>
      <c r="F40" s="9"/>
      <c r="G40" s="9"/>
      <c r="H40" s="9"/>
      <c r="I40" s="9"/>
      <c r="J40" s="9"/>
      <c r="K40" s="65"/>
      <c r="L40" s="50"/>
      <c r="M40" s="66"/>
      <c r="N40" s="67"/>
      <c r="O40" s="780"/>
      <c r="P40" s="781"/>
      <c r="Q40" s="780"/>
      <c r="R40" s="67"/>
      <c r="S40" s="746"/>
    </row>
    <row r="41" spans="1:19" x14ac:dyDescent="0.2">
      <c r="A41" s="1917" t="s">
        <v>145</v>
      </c>
      <c r="B41" s="1908"/>
      <c r="C41" s="1908"/>
      <c r="D41" s="1908"/>
      <c r="E41" s="137"/>
      <c r="F41" s="137"/>
      <c r="G41" s="19"/>
      <c r="H41" s="36"/>
      <c r="I41" s="65">
        <f>IF('WTW Input'!$H$20&gt;0,1.25,0)</f>
        <v>0</v>
      </c>
      <c r="J41" s="36" t="s">
        <v>1</v>
      </c>
      <c r="K41" s="70">
        <f>IF('WTW Input'!$H$20&gt;0,0.25,0)</f>
        <v>0</v>
      </c>
      <c r="L41" s="36" t="s">
        <v>1</v>
      </c>
      <c r="M41" s="49">
        <f>IF('Input Data'!$F$32=1,0.05,IF('Input Data'!$F$32=2,Scales!$L$5,IF('Input Data'!$F$32=3,Scales!$L$6,IF('Input Data'!$F$32=4,Scales!$L$7,0.7))))</f>
        <v>0.55000000000000004</v>
      </c>
      <c r="N41" s="42" t="s">
        <v>2</v>
      </c>
      <c r="O41" s="779">
        <f>'WTW Input'!$H$20</f>
        <v>0</v>
      </c>
      <c r="P41" s="778" t="s">
        <v>23</v>
      </c>
      <c r="Q41" s="779">
        <f>IF('WTW Input'!$H$20&gt;0,$S$18,0)</f>
        <v>0</v>
      </c>
      <c r="R41" s="67"/>
      <c r="S41" s="761">
        <f>IF('WTW Input'!$H$20&gt;0,IF('Input Data'!$D$34="N",(I41*K41*M41*O41/O42*Q41),0),0)</f>
        <v>0</v>
      </c>
    </row>
    <row r="42" spans="1:19" x14ac:dyDescent="0.2">
      <c r="A42" s="2066"/>
      <c r="B42" s="1908"/>
      <c r="C42" s="1908"/>
      <c r="D42" s="1908"/>
      <c r="E42" s="137"/>
      <c r="F42" s="137"/>
      <c r="G42" s="9"/>
      <c r="H42" s="9"/>
      <c r="I42" s="9"/>
      <c r="J42" s="9"/>
      <c r="K42" s="65"/>
      <c r="L42" s="50"/>
      <c r="M42" s="49"/>
      <c r="N42" s="67"/>
      <c r="O42" s="777">
        <f>IF('WTW Input'!$H$20&gt;0,'Input Data'!$H$50,0)</f>
        <v>0</v>
      </c>
      <c r="P42" s="781"/>
      <c r="Q42" s="780"/>
      <c r="R42" s="67"/>
      <c r="S42" s="746"/>
    </row>
    <row r="43" spans="1:19" x14ac:dyDescent="0.2">
      <c r="A43" s="6"/>
      <c r="B43" s="9"/>
      <c r="C43" s="9"/>
      <c r="D43" s="9"/>
      <c r="E43" s="9"/>
      <c r="F43" s="9"/>
      <c r="G43" s="9"/>
      <c r="H43" s="9"/>
      <c r="I43" s="9"/>
      <c r="J43" s="9"/>
      <c r="K43" s="65"/>
      <c r="L43" s="50"/>
      <c r="M43" s="66"/>
      <c r="N43" s="67"/>
      <c r="O43" s="780"/>
      <c r="P43" s="781"/>
      <c r="Q43" s="780"/>
      <c r="R43" s="67"/>
      <c r="S43" s="746"/>
    </row>
    <row r="44" spans="1:19" x14ac:dyDescent="0.2">
      <c r="A44" s="1917" t="s">
        <v>146</v>
      </c>
      <c r="B44" s="1908"/>
      <c r="C44" s="1908"/>
      <c r="D44" s="1908"/>
      <c r="E44" s="19"/>
      <c r="F44" s="36"/>
      <c r="G44" s="65">
        <f>IF('WTW Input'!$H$21&gt;0,1.25,0)</f>
        <v>0</v>
      </c>
      <c r="H44" s="36" t="s">
        <v>1</v>
      </c>
      <c r="I44" s="65">
        <f>IF('WTW Input'!$H$21&gt;0,0.33,0)</f>
        <v>0</v>
      </c>
      <c r="J44" s="36" t="s">
        <v>1</v>
      </c>
      <c r="K44" s="70">
        <f>IF('WTW Input'!$H$21&gt;0,0.25,0)</f>
        <v>0</v>
      </c>
      <c r="L44" s="36" t="s">
        <v>1</v>
      </c>
      <c r="M44" s="49">
        <f>IF('Input Data'!$F$32=1,0.05,IF('Input Data'!$F$32=2,Scales!$L$5,IF('Input Data'!$F$32=3,Scales!$L$6,IF('Input Data'!$F$32=4,Scales!$L$7,0.7))))</f>
        <v>0.55000000000000004</v>
      </c>
      <c r="N44" s="42" t="s">
        <v>2</v>
      </c>
      <c r="O44" s="779">
        <f>'WTW Input'!$H$21</f>
        <v>0</v>
      </c>
      <c r="P44" s="778" t="s">
        <v>23</v>
      </c>
      <c r="Q44" s="779">
        <f>IF('WTW Input'!$H$21&gt;0,$S$18,0)</f>
        <v>0</v>
      </c>
      <c r="R44" s="67"/>
      <c r="S44" s="761">
        <f>IF('WTW Input'!$H$21&gt;0,IF('Input Data'!$D$34="N",(G44*I44*K44*M44*O44/O45*Q44),0),0)</f>
        <v>0</v>
      </c>
    </row>
    <row r="45" spans="1:19" ht="24" customHeight="1" x14ac:dyDescent="0.2">
      <c r="A45" s="2066"/>
      <c r="B45" s="1908"/>
      <c r="C45" s="1908"/>
      <c r="D45" s="1908"/>
      <c r="E45" s="137"/>
      <c r="F45" s="137"/>
      <c r="G45" s="9"/>
      <c r="H45" s="9"/>
      <c r="I45" s="9"/>
      <c r="J45" s="9"/>
      <c r="K45" s="65"/>
      <c r="L45" s="50"/>
      <c r="M45" s="49"/>
      <c r="N45" s="67"/>
      <c r="O45" s="777">
        <f>IF('WTW Input'!$H$21&gt;0,'Input Data'!$H$50,0)</f>
        <v>0</v>
      </c>
      <c r="P45" s="781"/>
      <c r="Q45" s="780"/>
      <c r="R45" s="67"/>
      <c r="S45" s="746"/>
    </row>
    <row r="46" spans="1:19" ht="32.25" customHeight="1" x14ac:dyDescent="0.2">
      <c r="A46" s="2071" t="s">
        <v>151</v>
      </c>
      <c r="B46" s="1909"/>
      <c r="C46" s="1909"/>
      <c r="D46" s="1909"/>
      <c r="E46" s="1909"/>
      <c r="F46" s="1909"/>
      <c r="G46" s="1909"/>
      <c r="H46" s="1909"/>
      <c r="I46" s="1909"/>
      <c r="J46" s="1909"/>
      <c r="K46" s="1909"/>
      <c r="L46" s="1909"/>
      <c r="M46" s="1909"/>
      <c r="N46" s="1909"/>
      <c r="O46" s="1909"/>
      <c r="P46" s="1909"/>
      <c r="Q46" s="1909"/>
      <c r="R46" s="67"/>
      <c r="S46" s="814">
        <f>IF(S14=0,0,SUM(S23:S45))</f>
        <v>0</v>
      </c>
    </row>
    <row r="47" spans="1:19" ht="15.75" thickBot="1" x14ac:dyDescent="0.25">
      <c r="A47" s="71"/>
      <c r="B47" s="15"/>
      <c r="C47" s="54"/>
      <c r="D47" s="54"/>
      <c r="E47" s="54"/>
      <c r="F47" s="54"/>
      <c r="G47" s="54"/>
      <c r="H47" s="54"/>
      <c r="I47" s="54"/>
      <c r="J47" s="54"/>
      <c r="K47" s="73"/>
      <c r="L47" s="74"/>
      <c r="M47" s="75"/>
      <c r="N47" s="76"/>
      <c r="O47" s="76"/>
      <c r="P47" s="77"/>
      <c r="Q47" s="76"/>
      <c r="R47" s="76"/>
      <c r="S47" s="815"/>
    </row>
    <row r="48" spans="1:19" ht="27.75" customHeight="1" thickTop="1" x14ac:dyDescent="0.2">
      <c r="A48" s="82" t="s">
        <v>272</v>
      </c>
      <c r="B48" s="64"/>
      <c r="C48" s="64"/>
      <c r="D48" s="64"/>
      <c r="E48" s="64"/>
      <c r="F48" s="64"/>
      <c r="G48" s="19"/>
      <c r="H48" s="19"/>
      <c r="I48" s="19"/>
      <c r="J48" s="19"/>
      <c r="K48" s="19"/>
      <c r="L48" s="19"/>
      <c r="M48" s="19"/>
      <c r="N48" s="19"/>
      <c r="O48" s="19"/>
      <c r="P48" s="19"/>
      <c r="Q48" s="19"/>
      <c r="R48" s="19"/>
      <c r="S48" s="748"/>
    </row>
    <row r="49" spans="1:19" x14ac:dyDescent="0.2">
      <c r="A49" s="388"/>
      <c r="B49" s="19"/>
      <c r="C49" s="19"/>
      <c r="D49" s="19"/>
      <c r="E49" s="19"/>
      <c r="F49" s="19"/>
      <c r="G49" s="19"/>
      <c r="H49" s="19"/>
      <c r="I49" s="19"/>
      <c r="J49" s="19"/>
      <c r="K49" s="19"/>
      <c r="L49" s="19"/>
      <c r="M49" s="19"/>
      <c r="N49" s="19"/>
      <c r="O49" s="19"/>
      <c r="P49" s="19"/>
      <c r="Q49" s="19"/>
      <c r="R49" s="19"/>
      <c r="S49" s="748"/>
    </row>
    <row r="50" spans="1:19" x14ac:dyDescent="0.2">
      <c r="A50" s="1914" t="s">
        <v>148</v>
      </c>
      <c r="B50" s="1909"/>
      <c r="C50" s="1909"/>
      <c r="D50" s="36"/>
      <c r="E50" s="36"/>
      <c r="F50" s="36"/>
      <c r="G50" s="36"/>
      <c r="H50" s="36"/>
      <c r="I50" s="36"/>
      <c r="J50" s="36"/>
      <c r="K50" s="19"/>
      <c r="L50" s="36"/>
      <c r="M50" s="49">
        <f>IF('Input Data'!$F$32&lt;5,0,IF('Input Data'!$F$32=5,0.25,IF('Input Data'!$F$32=6,0.3)))</f>
        <v>0</v>
      </c>
      <c r="N50" s="38" t="s">
        <v>2</v>
      </c>
      <c r="O50" s="779">
        <f>IF('Input Data'!$F$32&gt;4,'WTW Input'!$H$26,0)</f>
        <v>0</v>
      </c>
      <c r="P50" s="778" t="s">
        <v>23</v>
      </c>
      <c r="Q50" s="788">
        <f>IF('WTW Input'!$H$26&gt;0,IF('Input Data'!$F$32&gt;4,$S$18,0),0)</f>
        <v>0</v>
      </c>
      <c r="R50" s="25"/>
      <c r="S50" s="761">
        <f>IF('WTW Input'!$H$26&gt;0,IF('Input Data'!$F$32&gt;4,(M50*O50/O51*Q50),0),0)</f>
        <v>0</v>
      </c>
    </row>
    <row r="51" spans="1:19" x14ac:dyDescent="0.2">
      <c r="A51" s="1910"/>
      <c r="B51" s="1909"/>
      <c r="C51" s="1909"/>
      <c r="D51" s="45"/>
      <c r="E51" s="45"/>
      <c r="F51" s="45"/>
      <c r="G51" s="45"/>
      <c r="H51" s="45"/>
      <c r="I51" s="45"/>
      <c r="J51" s="45"/>
      <c r="K51" s="19"/>
      <c r="L51" s="19"/>
      <c r="M51" s="49"/>
      <c r="N51" s="20"/>
      <c r="O51" s="777">
        <f>IF('WTW Input'!$H$26&gt;0,'Input Data'!$H$50,0)</f>
        <v>0</v>
      </c>
      <c r="P51" s="778"/>
      <c r="Q51" s="779"/>
      <c r="R51" s="25"/>
      <c r="S51" s="761"/>
    </row>
    <row r="52" spans="1:19" x14ac:dyDescent="0.2">
      <c r="A52" s="44"/>
      <c r="B52" s="19"/>
      <c r="C52" s="20"/>
      <c r="D52" s="45"/>
      <c r="E52" s="45"/>
      <c r="F52" s="45"/>
      <c r="G52" s="45"/>
      <c r="H52" s="45"/>
      <c r="I52" s="45"/>
      <c r="J52" s="45"/>
      <c r="K52" s="19"/>
      <c r="L52" s="19"/>
      <c r="M52" s="49"/>
      <c r="N52" s="20"/>
      <c r="O52" s="790"/>
      <c r="P52" s="778"/>
      <c r="Q52" s="779"/>
      <c r="R52" s="25"/>
      <c r="S52" s="761"/>
    </row>
    <row r="53" spans="1:19" x14ac:dyDescent="0.2">
      <c r="A53" s="1907" t="s">
        <v>140</v>
      </c>
      <c r="B53" s="1908"/>
      <c r="C53" s="2068"/>
      <c r="D53" s="36"/>
      <c r="E53" s="36"/>
      <c r="F53" s="36"/>
      <c r="G53" s="36"/>
      <c r="H53" s="36"/>
      <c r="I53" s="19"/>
      <c r="J53" s="36"/>
      <c r="K53" s="65">
        <f>IF('WTW Input'!H27&gt;0,1.25,0)</f>
        <v>0</v>
      </c>
      <c r="L53" s="19" t="s">
        <v>23</v>
      </c>
      <c r="M53" s="49">
        <f>IF('Input Data'!$F$32&lt;5,0,IF('Input Data'!$F$32=5,0.25,IF('Input Data'!$F$32=6,0.3)))</f>
        <v>0</v>
      </c>
      <c r="N53" s="38" t="s">
        <v>2</v>
      </c>
      <c r="O53" s="779">
        <f>IF('Input Data'!$F$32&gt;4,'WTW Input'!$H$27,0)</f>
        <v>0</v>
      </c>
      <c r="P53" s="778" t="s">
        <v>23</v>
      </c>
      <c r="Q53" s="788">
        <f>IF('WTW Input'!$H$27&gt;0,IF('Input Data'!$F$32&gt;4,$S$18,0),0)</f>
        <v>0</v>
      </c>
      <c r="R53" s="42"/>
      <c r="S53" s="761">
        <f>IF('WTW Input'!$H$27&gt;0,IF('Input Data'!$F$32&gt;4,(K53*M53*O53/O54*Q53),0),0)</f>
        <v>0</v>
      </c>
    </row>
    <row r="54" spans="1:19" x14ac:dyDescent="0.2">
      <c r="A54" s="2069"/>
      <c r="B54" s="2068"/>
      <c r="C54" s="2068"/>
      <c r="D54" s="50"/>
      <c r="E54" s="50"/>
      <c r="F54" s="50"/>
      <c r="G54" s="50"/>
      <c r="H54" s="50"/>
      <c r="I54" s="50"/>
      <c r="J54" s="50"/>
      <c r="K54" s="19"/>
      <c r="L54" s="19"/>
      <c r="M54" s="66"/>
      <c r="N54" s="64"/>
      <c r="O54" s="777">
        <f>IF('WTW Input'!$H$27&gt;0,'Input Data'!$H$50,0)</f>
        <v>0</v>
      </c>
      <c r="P54" s="781"/>
      <c r="Q54" s="780"/>
      <c r="R54" s="67"/>
      <c r="S54" s="746"/>
    </row>
    <row r="55" spans="1:19" ht="21" customHeight="1" x14ac:dyDescent="0.2">
      <c r="A55" s="387"/>
      <c r="B55" s="144" t="s">
        <v>193</v>
      </c>
      <c r="C55" s="369"/>
      <c r="D55" s="29"/>
      <c r="E55" s="389"/>
      <c r="F55" s="29"/>
      <c r="G55" s="148"/>
      <c r="H55" s="148"/>
      <c r="I55" s="148"/>
      <c r="J55" s="148"/>
      <c r="K55" s="149"/>
      <c r="L55" s="149"/>
      <c r="M55" s="150"/>
      <c r="N55" s="151"/>
      <c r="O55" s="152"/>
      <c r="P55" s="153"/>
      <c r="Q55" s="154"/>
      <c r="R55" s="154"/>
      <c r="S55" s="814">
        <f>IF('WTW Input'!H28=0,0,SUM(S50:S54))</f>
        <v>0</v>
      </c>
    </row>
    <row r="56" spans="1:19" ht="6" customHeight="1" thickBot="1" x14ac:dyDescent="0.25">
      <c r="A56" s="123"/>
      <c r="B56" s="12"/>
      <c r="C56" s="12"/>
      <c r="D56" s="84"/>
      <c r="E56" s="84"/>
      <c r="F56" s="84"/>
      <c r="G56" s="84"/>
      <c r="H56" s="84"/>
      <c r="I56" s="84"/>
      <c r="J56" s="84"/>
      <c r="K56" s="85"/>
      <c r="L56" s="85"/>
      <c r="M56" s="86"/>
      <c r="N56" s="12"/>
      <c r="O56" s="13"/>
      <c r="P56" s="79"/>
      <c r="Q56" s="13"/>
      <c r="R56" s="13"/>
      <c r="S56" s="762"/>
    </row>
    <row r="57" spans="1:19" ht="27.75" customHeight="1" thickTop="1" thickBot="1" x14ac:dyDescent="0.25">
      <c r="A57" s="390"/>
      <c r="B57" s="391"/>
      <c r="C57" s="391"/>
      <c r="D57" s="392" t="s">
        <v>115</v>
      </c>
      <c r="E57" s="393"/>
      <c r="F57" s="393"/>
      <c r="G57" s="394"/>
      <c r="H57" s="394"/>
      <c r="I57" s="394"/>
      <c r="J57" s="394"/>
      <c r="K57" s="394"/>
      <c r="L57" s="394"/>
      <c r="M57" s="394"/>
      <c r="N57" s="394"/>
      <c r="O57" s="394"/>
      <c r="P57" s="394"/>
      <c r="Q57" s="394"/>
      <c r="R57" s="394"/>
      <c r="S57" s="816">
        <f>S46+S55</f>
        <v>0</v>
      </c>
    </row>
    <row r="58" spans="1:19" ht="15.75" thickTop="1" x14ac:dyDescent="0.2"/>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22">
    <mergeCell ref="A26:D27"/>
    <mergeCell ref="B8:R8"/>
    <mergeCell ref="E1:S1"/>
    <mergeCell ref="B6:D6"/>
    <mergeCell ref="K3:Q3"/>
    <mergeCell ref="I6:P6"/>
    <mergeCell ref="A35:D36"/>
    <mergeCell ref="C10:P10"/>
    <mergeCell ref="A53:C54"/>
    <mergeCell ref="A38:D39"/>
    <mergeCell ref="A41:D42"/>
    <mergeCell ref="A44:D45"/>
    <mergeCell ref="A50:C51"/>
    <mergeCell ref="A46:Q46"/>
    <mergeCell ref="A23:C24"/>
    <mergeCell ref="N14:R14"/>
    <mergeCell ref="A32:D33"/>
    <mergeCell ref="A29:D30"/>
    <mergeCell ref="C12:H12"/>
    <mergeCell ref="O12:Q12"/>
    <mergeCell ref="N15:R15"/>
    <mergeCell ref="A14:L14"/>
  </mergeCells>
  <phoneticPr fontId="0" type="noConversion"/>
  <printOptions horizontalCentered="1"/>
  <pageMargins left="0.74803149606299213" right="0.74803149606299213" top="0.78740157480314965" bottom="0.78740157480314965" header="0.51181102362204722" footer="0.51181102362204722"/>
  <pageSetup paperSize="8" scale="54" orientation="portrait" r:id="rId2"/>
  <headerFooter alignWithMargins="0">
    <oddFooter>&amp;L&amp;8&amp;A(&amp;F)&amp;C&amp;P&amp;R&amp;8&amp;D</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Notes</vt:lpstr>
      <vt:lpstr>Input Data</vt:lpstr>
      <vt:lpstr>Worked Example</vt:lpstr>
      <vt:lpstr>Civ_Struct_Eng_Tax Invoice </vt:lpstr>
      <vt:lpstr>Scales</vt:lpstr>
      <vt:lpstr>Previous Claims</vt:lpstr>
      <vt:lpstr>WTW Input</vt:lpstr>
      <vt:lpstr>Worked Example(WTW)</vt:lpstr>
      <vt:lpstr>WTW Calculations</vt:lpstr>
      <vt:lpstr>Summary A3</vt:lpstr>
      <vt:lpstr>Time Based</vt:lpstr>
      <vt:lpstr>Subsistence &amp; Travelling</vt:lpstr>
      <vt:lpstr>Trip Sheet</vt:lpstr>
      <vt:lpstr>Typing, Duplicating, &amp; Printing</vt:lpstr>
      <vt:lpstr>Site staff &amp; Other</vt:lpstr>
      <vt:lpstr>Non Taxable</vt:lpstr>
      <vt:lpstr>'Civ_Struct_Eng_Tax Invoice '!Print_Area</vt:lpstr>
      <vt:lpstr>'Input Data'!Print_Area</vt:lpstr>
      <vt:lpstr>Notes!Print_Area</vt:lpstr>
      <vt:lpstr>'Site staff &amp; Other'!Print_Area</vt:lpstr>
      <vt:lpstr>'Time Based'!Print_Area</vt:lpstr>
      <vt:lpstr>'Worked Example'!Print_Area</vt:lpstr>
      <vt:lpstr>'Worked Example(WTW)'!Print_Area</vt:lpstr>
      <vt:lpstr>'WTW Calculations'!Print_Area</vt:lpstr>
      <vt:lpstr>'WTW Input'!Print_Area</vt:lpstr>
      <vt:lpstr>'Civ_Struct_Eng_Tax Invoice '!Print_Titles</vt:lpstr>
      <vt:lpstr>'Input Data'!Print_Titles</vt:lpstr>
      <vt:lpstr>'Worked Example'!Print_Titles</vt:lpstr>
      <vt:lpstr>'WTW Calculations'!Print_Titles</vt:lpstr>
      <vt:lpstr>SCALE_2012SE1</vt:lpstr>
      <vt:lpstr>SCALE_2012SE2</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2012-10-11T13:43:13Z</cp:lastPrinted>
  <dcterms:created xsi:type="dcterms:W3CDTF">2000-04-06T11:32:49Z</dcterms:created>
  <dcterms:modified xsi:type="dcterms:W3CDTF">2012-11-19T07:24:23Z</dcterms:modified>
</cp:coreProperties>
</file>